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file02\sistemas\Ronald\2020\04 PCM\Datos Abiertos\DSR - 27-10-2020\Registro Hidrocarburos\03. Establecimientos VP de CL y GLP\"/>
    </mc:Choice>
  </mc:AlternateContent>
  <bookViews>
    <workbookView xWindow="0" yWindow="0" windowWidth="20633" windowHeight="7039"/>
  </bookViews>
  <sheets>
    <sheet name="EESSconGLPyGNV" sheetId="1" r:id="rId1"/>
  </sheets>
  <calcPr calcId="162913"/>
</workbook>
</file>

<file path=xl/calcChain.xml><?xml version="1.0" encoding="utf-8"?>
<calcChain xmlns="http://schemas.openxmlformats.org/spreadsheetml/2006/main">
  <c r="C202" i="1" l="1"/>
  <c r="B202" i="1"/>
  <c r="C201" i="1"/>
  <c r="B201" i="1"/>
  <c r="C200" i="1"/>
  <c r="B200" i="1"/>
  <c r="C199" i="1"/>
  <c r="B199" i="1"/>
  <c r="C198" i="1"/>
  <c r="B198" i="1"/>
  <c r="C197" i="1"/>
  <c r="B197" i="1"/>
  <c r="C196" i="1"/>
  <c r="B196" i="1"/>
  <c r="C195" i="1"/>
  <c r="B195" i="1"/>
  <c r="C194" i="1"/>
  <c r="B194" i="1"/>
  <c r="C193" i="1"/>
  <c r="B193" i="1"/>
  <c r="C192" i="1"/>
  <c r="B192" i="1"/>
  <c r="C191" i="1"/>
  <c r="B191" i="1"/>
  <c r="C190" i="1"/>
  <c r="B190" i="1"/>
  <c r="C189" i="1"/>
  <c r="B189" i="1"/>
  <c r="C188" i="1"/>
  <c r="B188" i="1"/>
  <c r="C187" i="1"/>
  <c r="B187" i="1"/>
  <c r="C186" i="1"/>
  <c r="B186" i="1"/>
  <c r="C185" i="1"/>
  <c r="B185" i="1"/>
  <c r="C184" i="1"/>
  <c r="B184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C175" i="1"/>
  <c r="B175" i="1"/>
  <c r="C174" i="1"/>
  <c r="B174" i="1"/>
  <c r="C173" i="1"/>
  <c r="B173" i="1"/>
  <c r="C172" i="1"/>
  <c r="B172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C157" i="1"/>
  <c r="B157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C150" i="1"/>
  <c r="B150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</calcChain>
</file>

<file path=xl/sharedStrings.xml><?xml version="1.0" encoding="utf-8"?>
<sst xmlns="http://schemas.openxmlformats.org/spreadsheetml/2006/main" count="2757" uniqueCount="984">
  <si>
    <t>REGISTROS HÁBILES DE EESS CON GLP Y GNV (Actualizado al 29 DE OCTUBRE DE 2020 - 15:09)</t>
  </si>
  <si>
    <t>No</t>
  </si>
  <si>
    <t>EXPEDIENTE</t>
  </si>
  <si>
    <t>CODIGO OSINERGMIN</t>
  </si>
  <si>
    <t>REGISTRO</t>
  </si>
  <si>
    <t>RUC</t>
  </si>
  <si>
    <t>RAZON SOCIAL</t>
  </si>
  <si>
    <t>DIRECCION OPERATIVA</t>
  </si>
  <si>
    <t>DEPARTAMENTO</t>
  </si>
  <si>
    <t>PROVINCIA</t>
  </si>
  <si>
    <t>DISTRITO</t>
  </si>
  <si>
    <t>TIPO DE ESTABLECIMIENTO</t>
  </si>
  <si>
    <t>TANQUE 1</t>
  </si>
  <si>
    <t>TANQUE 2</t>
  </si>
  <si>
    <t>TANQUE 3</t>
  </si>
  <si>
    <t>TANQUE 4</t>
  </si>
  <si>
    <t>TANQUE 5</t>
  </si>
  <si>
    <t>TANQUE 6</t>
  </si>
  <si>
    <t>TANQUE 7</t>
  </si>
  <si>
    <t>TANQUE 8</t>
  </si>
  <si>
    <t>TANQUE 9</t>
  </si>
  <si>
    <t>CAP.TOTAL CL (gln)</t>
  </si>
  <si>
    <t>CAP.TOTAL GLP (gln)</t>
  </si>
  <si>
    <t>CAP.TOTAL GNV (Lt)</t>
  </si>
  <si>
    <t>CAUDAL MAXIMO</t>
  </si>
  <si>
    <t>FEC. EMISION</t>
  </si>
  <si>
    <t>TÉRMINO DE VIGENCIA</t>
  </si>
  <si>
    <t>REPRESENTANTE</t>
  </si>
  <si>
    <t>GLP EN CILINDROS (kg)</t>
  </si>
  <si>
    <t>17870-107-300519</t>
  </si>
  <si>
    <t>TERPEL PERU S.A.C.</t>
  </si>
  <si>
    <t>AV. NICOLAS DUEÑAS Nº 308 - 310 ESQ. CON AV. ENRIQUE MEIGGS</t>
  </si>
  <si>
    <t>LIMA</t>
  </si>
  <si>
    <t>ESTACIÓN DE SERVICIO MIXTA (CL/GLP/GNV)</t>
  </si>
  <si>
    <t>C1:2000:GAS LICUADO DE PETROLEO </t>
  </si>
  <si>
    <t>C1:8000:GASOHOL 97 PLUS </t>
  </si>
  <si>
    <t>C1:8000:GASOHOL 90 PLUS </t>
  </si>
  <si>
    <t>C1:8000:GASOHOL 95 PLUS </t>
  </si>
  <si>
    <t>C1:8000:Diesel B5 S-50 </t>
  </si>
  <si>
    <t>C1:4000:Diesel B5 S-50 </t>
  </si>
  <si>
    <t>INDEFINIDO</t>
  </si>
  <si>
    <t>PATRICIA CECILIA DELGADO ZEGARRA</t>
  </si>
  <si>
    <t>102990-107-070318</t>
  </si>
  <si>
    <t>ESCOH S.A.C.</t>
  </si>
  <si>
    <t>AV. FERNANDO LEON DE VIVERO ESQ. PASAJE LOS ANGELES, SUB LOTE 4A</t>
  </si>
  <si>
    <t>ICA</t>
  </si>
  <si>
    <t>C1:2500:GAS LICUADO DE PETROLEO </t>
  </si>
  <si>
    <t>C1:3000:Diesel B5 S-50 C2:1090:GASOHOL 95 PLUS C3:1084:GASOHOL 90 PLUS C4:595:GASOHOL 84 PLUS </t>
  </si>
  <si>
    <t>2500:GAS LICUADO DE PETROLEO </t>
  </si>
  <si>
    <t>CESAR AUGUSTO LOPEZ COLOMA</t>
  </si>
  <si>
    <t>6753-107-140817</t>
  </si>
  <si>
    <t>SERVICENTRO EL CONDOR S.R.L.</t>
  </si>
  <si>
    <t>ASOCIACION DE PROPIETARIOS NARANJITO MZ. C LOTES 09,10 Y 11 CARRETERA PANAMERICANA NORTE KM. 28.5</t>
  </si>
  <si>
    <t>PUENTE PIEDRA</t>
  </si>
  <si>
    <t>C1:3000:GAS LICUADO DE PETROLEO </t>
  </si>
  <si>
    <t>C1:6000:Diesel B5 S-50 </t>
  </si>
  <si>
    <t>C1:4000:GASOHOL 90 PLUS </t>
  </si>
  <si>
    <t>C1:4000:GASOHOL 95 PLUS </t>
  </si>
  <si>
    <t>C1:3000:GASOHOL 90 PLUS </t>
  </si>
  <si>
    <t>C1:3000:GASOHOL 95 PLUS </t>
  </si>
  <si>
    <t>3000:GAS LICUADO DE PETROLEO </t>
  </si>
  <si>
    <t>ANTONIO VICTOR ZORRILLA SALAZAR</t>
  </si>
  <si>
    <t>18869-107-071118</t>
  </si>
  <si>
    <t>SERVICENTRO Y AFINES LAS AMERICAS E.I.R.L.</t>
  </si>
  <si>
    <t>AV. DE LAS AMERICAS ESQUINA CON AV. PARINACOCHAS N° 1683</t>
  </si>
  <si>
    <t>LA VICTORIA</t>
  </si>
  <si>
    <t>C1:4500:GAS LICUADO DE PETROLEO </t>
  </si>
  <si>
    <t>C1:6000:GASOHOL 95 PLUS </t>
  </si>
  <si>
    <t>C1:6000:GASOHOL 90 PLUS </t>
  </si>
  <si>
    <t>C1:3000:GASOHOL 97 PLUS C2:3000:GASOHOL 84 PLUS </t>
  </si>
  <si>
    <t>JUAN RENATO RIERA FERRARO</t>
  </si>
  <si>
    <t>34770-107-230816</t>
  </si>
  <si>
    <t>REPSOL COMERCIAL S.A.C.</t>
  </si>
  <si>
    <t>ESQ. AV. LOS INGENIEROS Y AV. SEPARADORA INDUSTRIAL N° 2503, MZ. E LOTE 14-2, URB. STA. RAQUEL 2DA. ETAPA</t>
  </si>
  <si>
    <t>ATE</t>
  </si>
  <si>
    <t>C1:3200:GAS LICUADO DE PETROLEO </t>
  </si>
  <si>
    <t>C1:3000:GASOHOL 98 PLUS </t>
  </si>
  <si>
    <t>C1:4000:Diesel B5 S-50 C2:4000:GASOHOL 98 PLUS </t>
  </si>
  <si>
    <t>ALBERTO ELIAS MUNARES TAPIA</t>
  </si>
  <si>
    <t>64036-107-150319</t>
  </si>
  <si>
    <t>CORGAS S.A.C.</t>
  </si>
  <si>
    <t>AV. LAS TORRES 497, URB. LOS SAUCES</t>
  </si>
  <si>
    <t>C1:3000:Diesel B5 S-50 </t>
  </si>
  <si>
    <t>C1:2000:GASOHOL 90 PLUS </t>
  </si>
  <si>
    <t>C1:2000:GASOHOL 95 PLUS </t>
  </si>
  <si>
    <t>C1:1050:GASOHOL 97 PLUS </t>
  </si>
  <si>
    <t>DELFINA ATACHAGUA MAURICIO VDA. DE CORDOVA</t>
  </si>
  <si>
    <t>130775-107-171218</t>
  </si>
  <si>
    <t xml:space="preserve">ESTACION DE SERVICIOS GAMARRA S.A.C. </t>
  </si>
  <si>
    <t>AV. LA PAZ Y CALLE GRAN MARISCAL AGUSTIN GAMARRA MESSIA (ANTES JIRON) DENOMINADO LOTE 246, SUBLOTE A,B,C Y D DE LA MZ. 14 URBANIZACIÓN MIRAMAR</t>
  </si>
  <si>
    <t>SAN MIGUEL</t>
  </si>
  <si>
    <t>C1:5000:Diesel B5 S-50 </t>
  </si>
  <si>
    <t>C1:5000:GASOHOL 95 PLUS </t>
  </si>
  <si>
    <t>C1:5000:GASOHOL 90 PLUS </t>
  </si>
  <si>
    <t>C1:5000:GASOHOL 97 PLUS </t>
  </si>
  <si>
    <t>JORGE ANDRÉS OSHIRO YAGI</t>
  </si>
  <si>
    <t>123985-107-250718</t>
  </si>
  <si>
    <t xml:space="preserve">ESTACION DE SERVICIOS GRIFO DENVER S.R.L. </t>
  </si>
  <si>
    <t>CARRETERA CENTRAL SUB PARCELA 8A DE LA PARCELA N°10015 EX FUNDO PARIACHI MZ. A LT. 1 Y 2, PROGRAMA DE VIVIENDA "LAS PONCIANAS DE PARIACHI"</t>
  </si>
  <si>
    <t>C1:12900:Diesel B5 S-50 </t>
  </si>
  <si>
    <t>C1:2500:GASOHOL 95 PLUS </t>
  </si>
  <si>
    <t>C1:2000:GASOHOL 97 PLUS </t>
  </si>
  <si>
    <t>JULIO VICTOR HUERTA TORRE</t>
  </si>
  <si>
    <t>6779-107-060319</t>
  </si>
  <si>
    <t>COESTI S.A.</t>
  </si>
  <si>
    <t>AV. DEL EJERCITO N° 965, 967 Y 973, LOTES 1, 3, 16C, 17 Y 18 DE LA MZ. 68, URB. SAN FELIPE</t>
  </si>
  <si>
    <t>MAGDALENA DEL MAR</t>
  </si>
  <si>
    <t>C1:4000:GASOHOL 95 PLUS C2:4000:GASOHOL 95 PLUS </t>
  </si>
  <si>
    <t>C1:8000:GASOHOL 84 PLUS </t>
  </si>
  <si>
    <t>ABRAHAM HUGO CALDERON MAVILA</t>
  </si>
  <si>
    <t>9652-107-261119</t>
  </si>
  <si>
    <t>GRIFOS ESPINOZA S.A.</t>
  </si>
  <si>
    <t>AV. PROLONGACION PACHACUTEC N° 5295</t>
  </si>
  <si>
    <t>VILLA MARIA DEL TRIUNFO</t>
  </si>
  <si>
    <t>C1:1500:GAS LICUADO DE PETROLEO </t>
  </si>
  <si>
    <t>C1:6000:SIN PRODUCTO </t>
  </si>
  <si>
    <t>C1:4500:GASOHOL 97 PLUS </t>
  </si>
  <si>
    <t>C1:4500:GASOHOL 90 PLUS </t>
  </si>
  <si>
    <t>EUDOLIO FRANCISCO PONTE VILLANUEVA</t>
  </si>
  <si>
    <t>6781-107-060319</t>
  </si>
  <si>
    <t xml:space="preserve">COESTI S.A. </t>
  </si>
  <si>
    <t>AV. ARENALES N° 2100</t>
  </si>
  <si>
    <t>LINCE</t>
  </si>
  <si>
    <t>C1:3500:GAS LICUADO DE PETROLEO </t>
  </si>
  <si>
    <t>C1:6000:GASOHOL 97 PLUS </t>
  </si>
  <si>
    <t>6808-107-170215</t>
  </si>
  <si>
    <t>CORPORACION JULCAN S.A.</t>
  </si>
  <si>
    <t>AV. PROCERES DE LA INDEPENDENCIA N° 2556</t>
  </si>
  <si>
    <t>SAN JUAN DE LURIGANCHO</t>
  </si>
  <si>
    <t>C1:6000:GASOHOL 98 PLUS </t>
  </si>
  <si>
    <t>C3:6000:GASOHOL 95 PLUS </t>
  </si>
  <si>
    <t>3200:GAS LICUADO DE PETROLEO </t>
  </si>
  <si>
    <t>LUIS JAVIER SANDOVAL JUAREZ</t>
  </si>
  <si>
    <t>82460-107-200117</t>
  </si>
  <si>
    <t>ENERGIGAS SAC</t>
  </si>
  <si>
    <t>AV. REPUBLICA DE ARGENTINA N° 1830 - 1858, ESQUINA CON AV. NICOLAS DUEÑAS</t>
  </si>
  <si>
    <t>C1:2000:Diesel B5 S-50 C2:2000:Diesel B5 S-50 </t>
  </si>
  <si>
    <t>C1:1000:GASOHOL 95 PLUS C2:3000:GASOHOL 90 PLUS </t>
  </si>
  <si>
    <t>C1:1000:GASOHOL 95 PLUS C2:1000:GASOHOL 97 PLUS </t>
  </si>
  <si>
    <t>DIEGO ALONSO CARLOS JOSE GONZALES POSADA DE COSSIO</t>
  </si>
  <si>
    <t>16756-107-150519</t>
  </si>
  <si>
    <t>ESTACION DE SERVICIOS GRIFO MASTER S.R.L.</t>
  </si>
  <si>
    <t xml:space="preserve">AV. ALFREDO MENDIOLA ESQUINA CON CALLE 12, MANZANA E LOTES 05 AL 13 Y 16 AL 23 - ASOCIACION DE VIVIENDA RIO SANTA </t>
  </si>
  <si>
    <t>LOS OLIVOS</t>
  </si>
  <si>
    <t>C1:9000:Diesel B5 S-50 </t>
  </si>
  <si>
    <t>C1:6030:GASOHOL 90 PLUS </t>
  </si>
  <si>
    <t>C1:2030:GASOHOL 97 PLUS </t>
  </si>
  <si>
    <t>C1:3300:GASOHOL 95 PLUS </t>
  </si>
  <si>
    <t>C1:1600:GASOHOL 95 PLUS </t>
  </si>
  <si>
    <t>89061-107-130917</t>
  </si>
  <si>
    <t>GAS POINT S.A.C</t>
  </si>
  <si>
    <t>AV. UNIVERSITARIA ESQ. CON CALLE NN1</t>
  </si>
  <si>
    <t>PUEBLO LIBRE</t>
  </si>
  <si>
    <t>LUIS FELIPE PEDRO JOSE M. T. BALTA FASCE</t>
  </si>
  <si>
    <t>7558-107-230118</t>
  </si>
  <si>
    <t>REPRESENTACIONES E IMPORTACIONES MIJ S.R.L.</t>
  </si>
  <si>
    <t>AV. RAMIRO PRIALE N° 5747 Y 5749, ASOCIACION DE PROPIETARIOS DIGNIDAD NACIONAL</t>
  </si>
  <si>
    <t>LURIGANCHO</t>
  </si>
  <si>
    <t>C1:4000:SIN PRODUCTO </t>
  </si>
  <si>
    <t>ABEL JORDAN AZAÑERO NATIVIDAD</t>
  </si>
  <si>
    <t>7417-107-260819</t>
  </si>
  <si>
    <t>GRIFOS GES S.A.C.</t>
  </si>
  <si>
    <t xml:space="preserve">AV. ISABEL LA CATOLICA N° 690 </t>
  </si>
  <si>
    <t>C1:4000:GASOHOL 97 PLUS </t>
  </si>
  <si>
    <t>JAVIER CACELA ESPINOZA</t>
  </si>
  <si>
    <t>14758-107-300615</t>
  </si>
  <si>
    <t>E &amp; A INVERSIONES S.A.</t>
  </si>
  <si>
    <t>AV. PACHACUTEC N° 5955</t>
  </si>
  <si>
    <t>C1:3000:GASOHOL 95 PLUS C2:3000:GASOHOL 84 PLUS </t>
  </si>
  <si>
    <t xml:space="preserve">CARLOS ALFONSO ANDRADE FLORES </t>
  </si>
  <si>
    <t>8082-107-270918</t>
  </si>
  <si>
    <t>ESTACION LOS JARDINES E.I.R.L.</t>
  </si>
  <si>
    <t>AV. PROCERES DE LA INDEPENDENCIA N° 1015 (MZ. G LOTES 11 AL 19)</t>
  </si>
  <si>
    <t>C1:1000:SIN PRODUCTO </t>
  </si>
  <si>
    <t>4500:GAS LICUADO DE PETROLEO </t>
  </si>
  <si>
    <t>BETZI SOTA PAREDES</t>
  </si>
  <si>
    <t>119112-107-190218</t>
  </si>
  <si>
    <t>CORPORACION UNO S.A.</t>
  </si>
  <si>
    <t>CALLE JOSE DE LA TORRE UGARTE Y AV FERNANDO LEON ARECHUA N° 281</t>
  </si>
  <si>
    <t>C1:4000:DIESEL B5 C2:4000:GASOHOL 95 PLUS </t>
  </si>
  <si>
    <t>C1:4000:GASOHOL 84 PLUS C2:4000:GASOHOL 90 PLUS </t>
  </si>
  <si>
    <t>LUIS ALBERTO PALMA PATIÑO</t>
  </si>
  <si>
    <t>106767-107-170918</t>
  </si>
  <si>
    <t>ESTACION DE SERVICIOS PETRO WORLD S.A.C.</t>
  </si>
  <si>
    <t>AV. VENEZUELA ESQUINA CON AV. RIVA AGUERO</t>
  </si>
  <si>
    <t>C1:3000:Diesel B5 S-50,GASOHOL 84 PLUS,GASOHOL 90 PLUS,GASOHOL 95 PLUS,GASOHOL 97 PLUS </t>
  </si>
  <si>
    <t>LUIS ALCIDES GALVEZ GUTIERREZ</t>
  </si>
  <si>
    <t>135517-107-300518</t>
  </si>
  <si>
    <t>EL OASIS DE ICA S.A.C.</t>
  </si>
  <si>
    <t>AV. FINLANDIA S/N, MZ. A-D, LOTES A1 Y A2, URB. SAN IDELFONSO</t>
  </si>
  <si>
    <t>LA TINGUIÑA</t>
  </si>
  <si>
    <t>C1:8800:Diesel B5 S-50 </t>
  </si>
  <si>
    <t>C1:4200:GASOHOL 90 PLUS C2:2200:GASOHOL 95 PLUS C3:2200:GASOHOL 97 PLUS </t>
  </si>
  <si>
    <t>7800:GAS LICUADO DE PETROLEO </t>
  </si>
  <si>
    <t>ERASMO ERNESTO GUEVARA SARMIENTO</t>
  </si>
  <si>
    <t>64257-107-300119</t>
  </si>
  <si>
    <t>ESQ. AV. QUILCA CON CALLE 10 - URB. SAN ALFONSO SANTA IRENE, MZ. A, LT. 01 Y 02</t>
  </si>
  <si>
    <t>PROV. CONST. DEL CALLAO</t>
  </si>
  <si>
    <t>CALLAO</t>
  </si>
  <si>
    <t>C1:4000:GASOHOL 97 PLUS C2:4000:GASOHOL 95 PLUS </t>
  </si>
  <si>
    <t>21032-107-160118</t>
  </si>
  <si>
    <t>AV. GUARDIA CIVIL N° 333</t>
  </si>
  <si>
    <t>CHORRILLOS</t>
  </si>
  <si>
    <t>CESAR DOMINGO CRUCES LIBERT</t>
  </si>
  <si>
    <t>8215-107-291119</t>
  </si>
  <si>
    <t>CARRETERA PANAMERICANA NORTE KM. 423, MZ.D LTS. 1, 2, 3 Y 4, LOTIZACION INDUSTRIAL GRAN TRAPECIO</t>
  </si>
  <si>
    <t>ANCASH</t>
  </si>
  <si>
    <t>SANTA</t>
  </si>
  <si>
    <t>CHIMBOTE</t>
  </si>
  <si>
    <t>7770-107-080819</t>
  </si>
  <si>
    <t>AV. LA MARINA N° 115 ESQ. CON AV. SANTA ROSA N° 135</t>
  </si>
  <si>
    <t>LA PERLA</t>
  </si>
  <si>
    <t>117590-107-010717</t>
  </si>
  <si>
    <t>ENERGIGAS S.A.C.</t>
  </si>
  <si>
    <t>PREDIO RURAL SAN PEDRO LOTE ÚNICO – VALLE LURIN, ANTIGUA PANAMERICANA SUR KM 34.5</t>
  </si>
  <si>
    <t>LURIN</t>
  </si>
  <si>
    <t>C1:2000:GASOHOL 95 PLUS C2:2000:GASOHOL 97 PLUS C3:2000:GASOHOL 84 PLUS </t>
  </si>
  <si>
    <t>3500:GAS LICUADO DE PETROLEO </t>
  </si>
  <si>
    <t>6903-107-261119</t>
  </si>
  <si>
    <t>AV. LIMA N° 2205, AA.HH. JOSE GALVEZ</t>
  </si>
  <si>
    <t>PACHACAMAC</t>
  </si>
  <si>
    <t>C1:8000:SIN PRODUCTO </t>
  </si>
  <si>
    <t>61745-107-140717</t>
  </si>
  <si>
    <t>GRIFOS SAGITARIO S.R.L.</t>
  </si>
  <si>
    <t xml:space="preserve">CARRETERA PANAMERICANA NORTE 1766 KM.150 </t>
  </si>
  <si>
    <t>HUAURA</t>
  </si>
  <si>
    <t>SANTA MARIA</t>
  </si>
  <si>
    <t>C1:2100:GASOHOL 97 PLUS </t>
  </si>
  <si>
    <t>C1:4220:DIESEL B5 </t>
  </si>
  <si>
    <t>C1:4200:GASOHOL 90 PLUS </t>
  </si>
  <si>
    <t>C1:4190:DIESEL B5 </t>
  </si>
  <si>
    <t>C1:4200:GASOHOL 95 PLUS </t>
  </si>
  <si>
    <t>C1:2100:Diesel B5 S-50 </t>
  </si>
  <si>
    <t>5200:GAS LICUADO DE PETROLEO </t>
  </si>
  <si>
    <t>CESAR GIOVANNI ZUCCHETTI CABALLERO</t>
  </si>
  <si>
    <t>38662-107-221119</t>
  </si>
  <si>
    <t>AUTOPISTA PANAMERICANA SUR KM 18.5, SUB LOTE 29-A, FUNDO VILLA BAJA</t>
  </si>
  <si>
    <t>SAN JUAN DE MIRAFLORES</t>
  </si>
  <si>
    <t>C1:4000:GASOHOL 97 PLUS C2:4000:GASOHOL 97 PLUS </t>
  </si>
  <si>
    <t>9520-107-130120</t>
  </si>
  <si>
    <t>XACT PERU S.A.C.</t>
  </si>
  <si>
    <t>OSCAR BENAVIDES N° 930</t>
  </si>
  <si>
    <t>C1:4000:GASOHOL 90 PLUS C2:4000:GASOHOL 98 PLUS </t>
  </si>
  <si>
    <t>GUILLERMO ALFREDO VOGELMANN BONICELLI</t>
  </si>
  <si>
    <t>31927-107-071118</t>
  </si>
  <si>
    <t>AV. IQUITOS N° 1100. ESQUINA CON JIRON ITALIA N° 100</t>
  </si>
  <si>
    <t>C1:5000:GASOHOL 98 PLUS </t>
  </si>
  <si>
    <t>VICTOR GONZALO CASTILLO OVIEDO</t>
  </si>
  <si>
    <t>7324-107-080319</t>
  </si>
  <si>
    <t>AV. HEROES DEL ALTO CENEPA N° 1502, 1504, 1506, 1510, 1514</t>
  </si>
  <si>
    <t>COMAS</t>
  </si>
  <si>
    <t>9659-107-140518</t>
  </si>
  <si>
    <t>ESTACION DE SERVICIOS HERCO S.A.C.</t>
  </si>
  <si>
    <t>CARRETERA PANAMERICANA SUR KM. 33 PARCELA C-14 A, PREDIO LAS SALINAS</t>
  </si>
  <si>
    <t>C1:5000:SIN PRODUCTO </t>
  </si>
  <si>
    <t>ADIB ABUDAYEH SANSUR</t>
  </si>
  <si>
    <t>9464-107-140118</t>
  </si>
  <si>
    <t>AV. CANADA N 1189 - 1191, ESQ. CON CALLE VICTOR ALZAMORA</t>
  </si>
  <si>
    <t>17903-107-190816</t>
  </si>
  <si>
    <t>GARODI S.R.L.</t>
  </si>
  <si>
    <t>AV. PACHACUTEC S/N (PROLONGACIÓN WIESE), MZ. C, LOTES 1, 2 Y 3, COMUNIDAD CAMPESINA JICAMARCA</t>
  </si>
  <si>
    <t>HUAROCHIRI</t>
  </si>
  <si>
    <t>SAN ANTONIO</t>
  </si>
  <si>
    <t>C1:4000:GASOHOL 90 PLUS C2:2000:GASOHOL 95 PLUS C3:2000:GASOHOL 97 PLUS </t>
  </si>
  <si>
    <t>JORGE LUIS GAMERO RIVERA</t>
  </si>
  <si>
    <t>96935-107-261119</t>
  </si>
  <si>
    <t xml:space="preserve">GRIFOS ESPINOZA S.A. </t>
  </si>
  <si>
    <t>SECTOR AGUA DULCE - LOTE 01</t>
  </si>
  <si>
    <t>C1:1085:GASOHOL 95 PLUS C2:1085:GASOHOL 90 PLUS C3:1085:Diesel B5 S-50 C4:3265:Diesel B5 S-50 </t>
  </si>
  <si>
    <t>7276-107-091217</t>
  </si>
  <si>
    <t>ESTACION SANTA MARGHERITA S.A.C.</t>
  </si>
  <si>
    <t>AV. VENEZUELA NRO. 2600</t>
  </si>
  <si>
    <t>C1:2900:GAS LICUADO DE PETROLEO </t>
  </si>
  <si>
    <t>EDUARDIO LUIS CAPRILE CARBAJAL</t>
  </si>
  <si>
    <t>14513-107-120520</t>
  </si>
  <si>
    <t>CONSORCIO ICA S.A.C.</t>
  </si>
  <si>
    <t>PANAMERICANA SUR KM. 307.3, CENTRO POBLADO GARGANTO</t>
  </si>
  <si>
    <t>LOS AQUIJES</t>
  </si>
  <si>
    <t>C1:4000:GASOHOL 95 PLUS C2:4000:GASOHOL 97 PLUS </t>
  </si>
  <si>
    <t>TITO ROLANDO PANDURO CALDAS</t>
  </si>
  <si>
    <t>7758-107-310118</t>
  </si>
  <si>
    <t>AV. PROCERES DE LA INDEPENDENCIA N° 2773-2785-2799 ESQUINA CON AV. EL SOL N° 388 - URB. SAN CARLOS</t>
  </si>
  <si>
    <t>JOSE ANTONIO GALDOS ZUÑIGA</t>
  </si>
  <si>
    <t>116243-107-181016</t>
  </si>
  <si>
    <t>CENTROGAS IQUITOS S.A.C.</t>
  </si>
  <si>
    <t>AV. IQUITOS 967-969,973-979,983-989-993-997-999 Y AV. ISABEL LA CATÓLICA 201-203,221-229,233</t>
  </si>
  <si>
    <t>C1:4000:GASOHOL 90 PLUS C2:4000:GASOHOL 95 PLUS </t>
  </si>
  <si>
    <t>4000:GAS LICUADO DE PETROLEO </t>
  </si>
  <si>
    <t>AMILCAR ALEJANDRO MANDUJANO PALOMINO</t>
  </si>
  <si>
    <t>61226-107-150617</t>
  </si>
  <si>
    <t xml:space="preserve">PREDIO RUSTICO SUB. LOTE G2 AV. LOS MAESTROS S/N </t>
  </si>
  <si>
    <t>C1:3000:GASOHOL 84 PLUS C2:3000:GASOHOL 90 PLUS </t>
  </si>
  <si>
    <t>C1:3000:GASOHOL 95 PLUS C2:3000:SIN PRODUCTO </t>
  </si>
  <si>
    <t>16631-107-090319</t>
  </si>
  <si>
    <t>GRIFO DENNIS S.A.C.</t>
  </si>
  <si>
    <t>AV. NESTOR GAMBETA, ESQUINA CALLE N° 6, SUB LOTE 01, URB. INDUSTRIAL OQUENDO</t>
  </si>
  <si>
    <t>C1:6000:Diesel B5 S-50 C2:3000:Diesel B5 S-50 </t>
  </si>
  <si>
    <t>C1:3000:Diesel B5 S-50 C2:4000:GASOHOL 90 PLUS </t>
  </si>
  <si>
    <t>C1:2000:GASOHOL 95 PLUS C2:2000:GASOHOL 98 PLUS </t>
  </si>
  <si>
    <t>ALFONSO JAVIER MARCELINO VELASQUEZ REINOSO</t>
  </si>
  <si>
    <t>114073-107-230719</t>
  </si>
  <si>
    <t>RED INTERNACIONAL DE COMBUSTIBLE Y SERVICIO AUTOMOTRIZ S.R.L.</t>
  </si>
  <si>
    <t>AV. NICOLAS ARRIOLA N° 1003</t>
  </si>
  <si>
    <t>C1:2000:GASOHOL 84 PLUS C2:3000:GASOHOL 97 PLUS </t>
  </si>
  <si>
    <t>RICARDO ALEJANDRO ROJAS CALDERON</t>
  </si>
  <si>
    <t>38208-107-140519</t>
  </si>
  <si>
    <t>INVERSIONES SATELITE S.A.C.</t>
  </si>
  <si>
    <t>AV. PEDRO MIOTTA N° 800-810 Y AV. BELISARIO SUAREZ</t>
  </si>
  <si>
    <t>C1:2000:GASOHOL 97 PLUS C2:3000:GASOHOL 95 PLUS C3:4000:GASOHOL 90 PLUS </t>
  </si>
  <si>
    <t>C1:2000:Diesel B5 S-50 C2:7000:Diesel B5 S-50 </t>
  </si>
  <si>
    <t>AUREA ALLISON MARIELL CABANILLAS LAMELA</t>
  </si>
  <si>
    <t>7806-107-141119</t>
  </si>
  <si>
    <t>CARRETERA ANTIGUA PANAMERICANA SUR KM. 32 MZA. U LOTE 1 A.H. HUERTOS DE LURIN</t>
  </si>
  <si>
    <t>C1:1500:GASOHOL 90 PLUS C2:1500:GASOHOL 95 PLUS </t>
  </si>
  <si>
    <t>8176-107-260114</t>
  </si>
  <si>
    <t>ESTACION DE SERVICIOS EL PINO E.I.R.L.</t>
  </si>
  <si>
    <t>JR. MANUEL ECHEANDIA N° 586 ESQ. CON AV. CIRCUNVALACIÓN MZ. A, LOTES 6,7 Y 8, URB. LOTIZACIÓN INDUSTRIAL EL PINO</t>
  </si>
  <si>
    <t>SAN LUIS</t>
  </si>
  <si>
    <t>C1:2000:GASOHOL 97 PLUS C2:2000:GASOHOL 95 PLUS </t>
  </si>
  <si>
    <t>20979-107-240918</t>
  </si>
  <si>
    <t>REPSOL COMERCIAL SAC</t>
  </si>
  <si>
    <t>AV. ELMER FAUCETT N- 2900</t>
  </si>
  <si>
    <t>108836-107-260419</t>
  </si>
  <si>
    <t>FUNDO LA VIÑA AZABACHE, LOTES N° 53,54 Y 55</t>
  </si>
  <si>
    <t>CHINCHA</t>
  </si>
  <si>
    <t>CHINCHA BAJA</t>
  </si>
  <si>
    <t>C1:4000:Diesel B5 S-50 C2:4000:GASOHOL 90 PLUS </t>
  </si>
  <si>
    <t>85698-107-110318</t>
  </si>
  <si>
    <t>AV. NICOLAS AYLLON N° 2039</t>
  </si>
  <si>
    <t>C1:3000:GASOHOL 90 PLUS C2:3000:GASOHOL 95 PLUS </t>
  </si>
  <si>
    <t>88439-107-150318</t>
  </si>
  <si>
    <t>TERPEL PERU SAC</t>
  </si>
  <si>
    <t>AV. ALFREDO MENDIOLA Nº 6585 - 6589 - 6593 - 6597 - 6599, MZ. 2E, LOTE 16 - PARCELACION RESIDENCIAL SANTA LUISA II ETAPA</t>
  </si>
  <si>
    <t>C1:2500:GASOHOL 90 PLUS C2:2500:GASOHOL 95 PLUS </t>
  </si>
  <si>
    <t>82834-107-230919</t>
  </si>
  <si>
    <t>XIN XING S.A.</t>
  </si>
  <si>
    <t>AV. ARGENTINA 898</t>
  </si>
  <si>
    <t>C1:3000:Diesel B5 S-50 C2:2000:GASOHOL 90 PLUS C3:1000:GASOHOL 95 PLUS </t>
  </si>
  <si>
    <t>JIANQIANG WU</t>
  </si>
  <si>
    <t>40709-107-080218</t>
  </si>
  <si>
    <t xml:space="preserve">AV. LA MOLINA Nº 580, ESQ. CON LA CALLE LAS MANDARINAS </t>
  </si>
  <si>
    <t>LA MOLINA</t>
  </si>
  <si>
    <t>9192-107-160818</t>
  </si>
  <si>
    <t>PROSERVICIOS INTEGRADO EN GAS SAC - PROSERVIGAS SAC</t>
  </si>
  <si>
    <t>AV. NESTOR GAMBETA KM. 18.26 (ANTES CARRETERA VENTANILLA KM. 5.9)</t>
  </si>
  <si>
    <t>VENTANILLA</t>
  </si>
  <si>
    <t>C1:4000:GASOHOL 95 PLUS C2:4000:GASOHOL 98 PLUS </t>
  </si>
  <si>
    <t>C1:3000:SIN PRODUCTO </t>
  </si>
  <si>
    <t>ABEL AZAÑERO ECHEVARRIA</t>
  </si>
  <si>
    <t>7316-107-180919</t>
  </si>
  <si>
    <t>CORPORACION PYX S.A.C.</t>
  </si>
  <si>
    <t>AV. ANGELICA GAMARRA DE LEON VELARDE N° 1361</t>
  </si>
  <si>
    <t>C1:4000:GASOHOL 98 PLUS </t>
  </si>
  <si>
    <t>ALEX ROBINSON TRUJILLO WONG</t>
  </si>
  <si>
    <t>16700-107-221217</t>
  </si>
  <si>
    <t xml:space="preserve">EMPRESA DE TRANSPORTES Y SERVICIOS VIRGEN DE LA PUERTA S.A. </t>
  </si>
  <si>
    <t>AV. REPUBLICA DE CROACIA N° 377, ZAPALLAL</t>
  </si>
  <si>
    <t>C1:4000:GASOHOL 95 PLUS C2:4000:GASOHOL 90 PLUS </t>
  </si>
  <si>
    <t>2000:GAS LICUADO DE PETROLEO </t>
  </si>
  <si>
    <t>MIGUEL ANGEL POZO GARCIA</t>
  </si>
  <si>
    <t>15731-107-210920</t>
  </si>
  <si>
    <t>ESTACION DE SERVICIOS BOLIVAR S.A.</t>
  </si>
  <si>
    <t>AV. SANTIAGO DE SURCO Nº 4420</t>
  </si>
  <si>
    <t>SANTIAGO DE SURCO</t>
  </si>
  <si>
    <t>C1:10000:Diesel B5 S-50 </t>
  </si>
  <si>
    <t>C1:2000:GASOHOL 95 PLUS C2:2000:GASOHOL 95 PLUS C3:2000:GASOHOL 97 PLUS </t>
  </si>
  <si>
    <t>MARCO ANTONIO ALVAREZ PONCE DE LEON</t>
  </si>
  <si>
    <t>9616-107-130318</t>
  </si>
  <si>
    <t>AV. LIMA ESQUINA AV. MARIA REICHE, MZ. C, LOTE 17, AA.HH. VILLA LA PAZ</t>
  </si>
  <si>
    <t>VILLA EL SALVADOR</t>
  </si>
  <si>
    <t>43730-107-200515</t>
  </si>
  <si>
    <t>AV. NESTOR GAMBETTA S/N SUB LOTE 1-1A EX FUNDO MARQUEZ (CARRETERA A VENTANILLA KM. 14.50)</t>
  </si>
  <si>
    <t>18440-107-241017</t>
  </si>
  <si>
    <t xml:space="preserve">GRIFOS DIANA S.A.C. </t>
  </si>
  <si>
    <t>AV. MEXICO 700, ESQUINA CALLE JUAN CASTRO</t>
  </si>
  <si>
    <t>C1:5000:GASOHOL 84 PLUS </t>
  </si>
  <si>
    <t>C1:100000:Diesel B5 S-50 </t>
  </si>
  <si>
    <t>ELARD ESPINOZA ORIHUELA</t>
  </si>
  <si>
    <t>9087-107-300119</t>
  </si>
  <si>
    <t>AV. SUCRE N° 1070</t>
  </si>
  <si>
    <t>C1:4000:Diesel B5 S-50 C2:4000:Diesel B5 S-50 </t>
  </si>
  <si>
    <t>63899-107-051217</t>
  </si>
  <si>
    <t>JR. HUARAZ N° 1484 - 1494 ESQUINA CON JR. RESTAURACION</t>
  </si>
  <si>
    <t>BREÑA</t>
  </si>
  <si>
    <t>C1:2500:GASOHOL 90 PLUS C2:1000:GASOHOL 95 PLUS C3:1000:Diesel B5 S-50 C4:500:GASOHOL 97 PLUS </t>
  </si>
  <si>
    <t>85534-107-041119</t>
  </si>
  <si>
    <t>GASOCENTRO &amp; AUTOSERVICIOS REAL S.A.C.</t>
  </si>
  <si>
    <t xml:space="preserve">AV. PROCERES DE INDEPENDENCIA 2555. ESQ. CON JR. ESTRELLAS </t>
  </si>
  <si>
    <t>C1:1500:GASOHOL 97 PLUS C2:1500:GASOHOL 95 PLUS C3:3000:GASOHOL 90 PLUS </t>
  </si>
  <si>
    <t>GUILLERMO REBOLAR AGUIRRE</t>
  </si>
  <si>
    <t>9526-107-230118</t>
  </si>
  <si>
    <t>AV. LA MARINA N° 3112 – URB. MARANGA CUARTA ETAPA</t>
  </si>
  <si>
    <t>21397-107-261019</t>
  </si>
  <si>
    <t>NESTOR SALCEDO GUEVARA</t>
  </si>
  <si>
    <t>CARRETERA CENTRAL KM. 16.50</t>
  </si>
  <si>
    <t>C1:2500:GASOHOL 95 PLUS C2:2500:GASOHOL 98 PLUS </t>
  </si>
  <si>
    <t>C1:10000:GASOHOL 90 PLUS </t>
  </si>
  <si>
    <t>19953-107-020418</t>
  </si>
  <si>
    <t>AV. 28 DE JULIO N° 2315, ESQ. CON JR. PARINACOCHAS</t>
  </si>
  <si>
    <t>C1:4000:GAS LICUADO DE PETROLEO </t>
  </si>
  <si>
    <t>C1:4000:GASOHOL 90 PLUS C2:4000:GASOHOL 90 PLUS </t>
  </si>
  <si>
    <t>34178-107-040320</t>
  </si>
  <si>
    <t>SERVICIOS MULTIPLES SANTA CECILIA S.A.C.</t>
  </si>
  <si>
    <t>AUTOPISTA RAMIRO PRIALE KM 8.5, MZ. A, SUB LOTE 54-B, CENTRO POBLADO MENOR DE SANTA MARIA DE HUACHIPA</t>
  </si>
  <si>
    <t>C1:3000:SIN PRODUCTO C2:3000:GASOHOL 95 PLUS </t>
  </si>
  <si>
    <t>C1:3300:Diesel B5 S-50 </t>
  </si>
  <si>
    <t>C1:4500:SIN PRODUCTO </t>
  </si>
  <si>
    <t>C1:3300:SIN PRODUCTO </t>
  </si>
  <si>
    <t>CARLOS JOSE ARANA BURGA</t>
  </si>
  <si>
    <t>108688-107-100319</t>
  </si>
  <si>
    <t>INVERSIONES GABILU S.A.C</t>
  </si>
  <si>
    <t>AV. SAN JUAN DE DIOS CON CALLE 7 MZ- C1- LTE-1 URB. LOTIZACION INDUSTRIAL</t>
  </si>
  <si>
    <t>C1:1500:GASOHOL 95 PLUS C2:1500:GASOHOL 97 PLUS C3:4000:GASOHOL 90 PLUS </t>
  </si>
  <si>
    <t>C1:7000:Diesel B5 S-50 </t>
  </si>
  <si>
    <t>LUIS ENRRIQUE GUERRERO TAPIA</t>
  </si>
  <si>
    <t>21096-107-270419</t>
  </si>
  <si>
    <t>GRUPO AZAÑERO INVERSIONISTAS EN COMBUSTIBLES S.A.C.</t>
  </si>
  <si>
    <t>AV. HEROES DEL ALTO CENEPA MZ. B LOTE 13 URB. CHACRA CERRO</t>
  </si>
  <si>
    <t>ABEL EDELFILIO AZAÑERO ECHEVARRIA</t>
  </si>
  <si>
    <t>9518-107-010218</t>
  </si>
  <si>
    <t>AV. 28 DE JULIO N° 2200</t>
  </si>
  <si>
    <t>C1:8387:Diesel B5 S-50 </t>
  </si>
  <si>
    <t>C1:8176:GASOHOL 90 PLUS </t>
  </si>
  <si>
    <t>C1:4078:GASOHOL 95 PLUS C2:4078:GASOHOL 97 PLUS </t>
  </si>
  <si>
    <t>14715-107-180120</t>
  </si>
  <si>
    <t>AV. NICOLAS ARRIOLA N° 3191</t>
  </si>
  <si>
    <t>6880-107-260118</t>
  </si>
  <si>
    <t>AV. TOMAS VALLE N° 1981. ESQ. CALLE BAQUIJANO Y CARRILLO</t>
  </si>
  <si>
    <t>SAN MARTIN DE PORRES</t>
  </si>
  <si>
    <t>83761-107-090820</t>
  </si>
  <si>
    <t>ADMINISTRACION DE GRIFOS LEP S.A.C.</t>
  </si>
  <si>
    <t>AV. LOS CISNES SUB LOTE 2, PARCELA PARAISO ESQ AV. RAMIRO PRIALE</t>
  </si>
  <si>
    <t>C1:3997:Diesel B5 S-50 </t>
  </si>
  <si>
    <t>C1:2220:GASOHOL 97 PLUS </t>
  </si>
  <si>
    <t>C1:2220:GASOHOL 90 PLUS </t>
  </si>
  <si>
    <t>C1:2220:GASOHOL 95 PLUS </t>
  </si>
  <si>
    <t>EDWIN MIGUEL PINEDO CORDOVA</t>
  </si>
  <si>
    <t>21052-107-270118</t>
  </si>
  <si>
    <t>AV. MARISCAL OSCAR R. BENAVIDES Nº 871 (ANTES: AV. COLONIAL ESQ. AV. TINGO MARIA)</t>
  </si>
  <si>
    <t>C1:4000:GASOHOL 90 PLUS C2:4000:GASOHOL 97 PLUS </t>
  </si>
  <si>
    <t>14646-107-230118</t>
  </si>
  <si>
    <t>AV. FAUSTINO SANCHEZ CARRION Nº 471 ESQUINA CON JR. ESTADOS UNIDOS</t>
  </si>
  <si>
    <t>JESUS MARIA</t>
  </si>
  <si>
    <t>C1:5000:GASOHOL 90 PLUS PD </t>
  </si>
  <si>
    <t>117443-107-240120</t>
  </si>
  <si>
    <t>AV. GUARDIA CHALACA MZ. 24 LOTE 17, ESQUINA CON AV. SAENZ PEÑA, URB. SANTA MARIA</t>
  </si>
  <si>
    <t>C1:3000:Diesel B5 S-50 C2:3000:GASOHOL 90 PLUS </t>
  </si>
  <si>
    <t>C1:3000:GASOHOL 95 PLUS,GASOHOL 97 PLUS </t>
  </si>
  <si>
    <t>16636-107-070619</t>
  </si>
  <si>
    <t>AV. ELMER FAUCETT 6000 Y ESQUINA CON NESTOR GAMBETA S/N</t>
  </si>
  <si>
    <t>C1:2030:GAS LICUADO DE PETROLEO </t>
  </si>
  <si>
    <t>C1:3000:GASOHOL 90 PLUS C2:3000:Diesel B5 S-50 </t>
  </si>
  <si>
    <t>C1:3000:GASOHOL 95 PLUS C2:3000:GASOHOL 98 PLUS </t>
  </si>
  <si>
    <t>9372-107-270419</t>
  </si>
  <si>
    <t>ESTACION DE SERVICIOS ANCON S.A..</t>
  </si>
  <si>
    <t xml:space="preserve">PANAMERICANA NORTE KM. 44, URB. SAN JOSE, MZ. N LOTE 3 </t>
  </si>
  <si>
    <t>ANCON</t>
  </si>
  <si>
    <t>C1:3500:GASOHOL 90 PLUS </t>
  </si>
  <si>
    <t>ALEJANDRO ROMERO DEL RIO</t>
  </si>
  <si>
    <t>33342-107-010218</t>
  </si>
  <si>
    <t>AV. AVIACIÓN CDRA 15 S/N OVALO ARRIOLA</t>
  </si>
  <si>
    <t>C1:5150:GAS LICUADO DE PETROLEO </t>
  </si>
  <si>
    <t>C1:3000:GASOHOL 95 PLUS C2:3000:GASOHOL 97 PLUS </t>
  </si>
  <si>
    <t>JORGE EDUARDO CARRASCO FIGUEROA</t>
  </si>
  <si>
    <t>6837-107-010817</t>
  </si>
  <si>
    <t>ORGANIZACION FUTURO S.A.C.</t>
  </si>
  <si>
    <t>AV. JAVIER PRADO ESTE N° 6651 URB. SANTA PATRICIA - III ETAPA</t>
  </si>
  <si>
    <t>FABRICIO JUAN CACERES HUDTWALKER</t>
  </si>
  <si>
    <t>7868-107-100619</t>
  </si>
  <si>
    <t>AV. PROCERES DE LA INDEPENDENCIA Nº 1487 URB. LOS JARDINES DE SAN JUAN</t>
  </si>
  <si>
    <t>C1:4000:GASOHOL 98 PLUS C2:4000:SIN PRODUCTO </t>
  </si>
  <si>
    <t>C1:4000:SIN PRODUCTO C2:4000:GASOHOL 95 PLUS </t>
  </si>
  <si>
    <t>16817-107-020719</t>
  </si>
  <si>
    <t>ESTACION DE SERVICIOS MONTE EVEREST S.A.C.</t>
  </si>
  <si>
    <t>AV. AVIACION N° 4269,4285 Y CALLE CLARA BARTON N° 121</t>
  </si>
  <si>
    <t>SURQUILLO</t>
  </si>
  <si>
    <t>JOSE GREGORIO QUEZADA PAREDES</t>
  </si>
  <si>
    <t>18881-107-230812</t>
  </si>
  <si>
    <t>ENERGIGAS S.A.C</t>
  </si>
  <si>
    <t>AV. VENEZUELA N° 2180 ESQ. CON EL JR. YUNGAY</t>
  </si>
  <si>
    <t>C1:5000:GASOHOL 95 PLUS C2:5000:Diesel B5 S-50 </t>
  </si>
  <si>
    <t>C1:4000:GASOHOL 97 PLUS C2:4000:GASOHOL 90 PLUS </t>
  </si>
  <si>
    <t>112178-107-140318</t>
  </si>
  <si>
    <t xml:space="preserve">AV. FRANCISCO PIZARRO 770, 772, 774, 776, 778, 780, 782, 784 Y 786 ESQ. CON AV. FELIPE ARANCIBIA </t>
  </si>
  <si>
    <t>RIMAC</t>
  </si>
  <si>
    <t>EDGARDO WILLIAM ESCOBAR OCHOA</t>
  </si>
  <si>
    <t>15666-107-310119</t>
  </si>
  <si>
    <t>AV. GUARDIA CIVIL Nº 203 ESQUINA AV. LOS GORRIONES</t>
  </si>
  <si>
    <t>C1:3000:GASOHOL 95 PLUS C2:3000:Diesel B5 S-50 </t>
  </si>
  <si>
    <t>83665-107-121219</t>
  </si>
  <si>
    <t xml:space="preserve">AV. PROCERES DE LA INDEPENDENCIA N° 701 - 709 </t>
  </si>
  <si>
    <t>C1:3500:GASOHOL 90 PLUS C2:2500:GASOHOL 95 PLUS C3:2000:GASOHOL 97 PLUS </t>
  </si>
  <si>
    <t>118240-107-160920</t>
  </si>
  <si>
    <t>ADMINISTRACION DE GRIFOS L&amp;L ONE S.A.C.</t>
  </si>
  <si>
    <t xml:space="preserve">AV. UNIVERSITARIA CRUCE CON AV. MANUEL PRADO MZ. B LOTE 04,05,06,07 Y 08 PROGRAMA DE VIVIENDA SANTA ROSA </t>
  </si>
  <si>
    <t>CARABAYLLO</t>
  </si>
  <si>
    <t>C1:4300:GAS LICUADO DE PETROLEO </t>
  </si>
  <si>
    <t>136355-107-300419</t>
  </si>
  <si>
    <t xml:space="preserve">CENTRAL PARIACHI S.A.C. </t>
  </si>
  <si>
    <t>AV. NICOLAS AYLLON (ANTES CARRETERA CENTRAL) PREDIO SEMI RUSTICO PARIACHI PARCELA 10906</t>
  </si>
  <si>
    <t>C1:5000:GAS LICUADO DE PETROLEO </t>
  </si>
  <si>
    <t>C1:3326:GASOHOL 90 PLUS C2:2114:GASOHOL 97 PLUS C3:2248:GASOHOL 95 PLUS </t>
  </si>
  <si>
    <t>16612-107-280119</t>
  </si>
  <si>
    <t xml:space="preserve">TERPEL PERU S.A.C. </t>
  </si>
  <si>
    <t>AV. PETIT THOUARS N° 1148, URB. SANTA. BEATRIZ</t>
  </si>
  <si>
    <t>C1:6000:GASOHOL 84 PLUS </t>
  </si>
  <si>
    <t>38667-107-260118</t>
  </si>
  <si>
    <t>SERVICENTRO EL ASESOR S.A.C.</t>
  </si>
  <si>
    <t>AV HUAROCHIRI N° 905, ESQUINA CON AV. HUANCARAY, MZ. H1, LOTES 2,3,4,5 Y 6 URB. EL ASESOR</t>
  </si>
  <si>
    <t>SANTA ANITA</t>
  </si>
  <si>
    <t xml:space="preserve">SANTOS FREDY CALDERON AGUILAR </t>
  </si>
  <si>
    <t>8054-107-270120</t>
  </si>
  <si>
    <t>G3A GRIFOS S.A.C.</t>
  </si>
  <si>
    <t>AVENIDA. UNIVERSITARIA NORTE MZA. C LTE. 1 URB. RESIDENCIAL COMERCIAL LOS OLIVOS</t>
  </si>
  <si>
    <t>LUCIA GOICOCHEA PAULETTE</t>
  </si>
  <si>
    <t>6749-107-271119</t>
  </si>
  <si>
    <t>AV. ALFREDO MENDIOLA N° 3550</t>
  </si>
  <si>
    <t>INDEPENDENCIA</t>
  </si>
  <si>
    <t>C1:4000:Diesel B5 S-50 C2:4000:GASOHOL 97 PLUS </t>
  </si>
  <si>
    <t>135513-107-300119</t>
  </si>
  <si>
    <t>AV. LURIGANCHO MZ. B LOTE 10 A,B,C,D, E Y SUB LOTE 10 F1</t>
  </si>
  <si>
    <t>C1:6000:GAS LICUADO DE PETROLEO </t>
  </si>
  <si>
    <t>C1:4000:GASOHOL 84 PLUS </t>
  </si>
  <si>
    <t xml:space="preserve">133262-107-061118 </t>
  </si>
  <si>
    <t>MAHANAIM MAGDALENA S.A.C.</t>
  </si>
  <si>
    <t>UNIVERSITARIA S/N CRUCE CON CALLE 2</t>
  </si>
  <si>
    <t>C1:2000:GASOHOL 90 PLUS C2:2000:GASOHOL 95 PLUS C3:2000:GASOHOL 97 PLUS C4:2000:Diesel B5 S-50 </t>
  </si>
  <si>
    <t>9635-107-060218</t>
  </si>
  <si>
    <t>GRIFOSA S.A.C.</t>
  </si>
  <si>
    <t>AV. OSCAR R. BENAVIDES NO. 2398</t>
  </si>
  <si>
    <t>RENZO LECARI CARBONE</t>
  </si>
  <si>
    <t>87014-107-270119</t>
  </si>
  <si>
    <t>AV. SIMÓN BOLIVAR 496 - 498, ESQUINA JR. BELGRANO 110 - 120</t>
  </si>
  <si>
    <t>C1:4000:GASOHOL 90 PLUS C2:4000:Diesel B5 S-50 </t>
  </si>
  <si>
    <t>16806-107-200815</t>
  </si>
  <si>
    <t>EMPRESA DE TRANSPORTES E IMPORTACIONES Y SERVICIOS S.A.</t>
  </si>
  <si>
    <t>AV UNIVERSITARIA ESQ. CARLOS IZAGUIRRE, MZ. A LOTES 1 2 3 Y 4 ASOCIACION DE VIVIENDA SAN JUAN DE DIOS</t>
  </si>
  <si>
    <t>EDUARDO MANUEL RABANAL BARRANTES</t>
  </si>
  <si>
    <t>7706-107-121219</t>
  </si>
  <si>
    <t>CALLE DOMINGO COLOMA N° 152</t>
  </si>
  <si>
    <t>HUACHO</t>
  </si>
  <si>
    <t>C1:6384:GASOHOL 90 PLUS </t>
  </si>
  <si>
    <t>C1:4100:GASOHOL 95 PLUS </t>
  </si>
  <si>
    <t>C1:6350:Diesel B5 S-50 </t>
  </si>
  <si>
    <t>C1:3900:GASOHOL 97 PLUS </t>
  </si>
  <si>
    <t>100155-107-250118</t>
  </si>
  <si>
    <t xml:space="preserve">AV. NICOLAS ARRIOLA N° 710, URB. SANTA CATALINA </t>
  </si>
  <si>
    <t>14706-107-260216</t>
  </si>
  <si>
    <t>ESTACION PETROGAS CAMPOY S.A.C.</t>
  </si>
  <si>
    <t>AV. LA PRINCIPAL (ANTES AV. CAMPOY) MZ. B LOTE 5</t>
  </si>
  <si>
    <t>C1:7869:Diesel B5 S-50 </t>
  </si>
  <si>
    <t>C1:7869:GASOHOL 84 PLUS </t>
  </si>
  <si>
    <t>C1:7869:GASOHOL 90 PLUS </t>
  </si>
  <si>
    <t>C1:3934.5:GASOHOL 97 PLUS C2:3934.5:GASOHOL 95 PLUS </t>
  </si>
  <si>
    <t>C1:6995:SIN PRODUCTO </t>
  </si>
  <si>
    <t>GIANCARLO EDO SALDAÑA TUCTO</t>
  </si>
  <si>
    <t>38655-107-121219</t>
  </si>
  <si>
    <t>AV. AVIACION N° 4524 ESQUINA CON LA AV. VILLARAN</t>
  </si>
  <si>
    <t>6873-107-121219</t>
  </si>
  <si>
    <t>AV. SAN JUAN N° 112, URB. SANTA TERESA</t>
  </si>
  <si>
    <t>130320-107-040518</t>
  </si>
  <si>
    <t>COMBUSTIBLES LIMPIOS PERUANOS S.A.C.</t>
  </si>
  <si>
    <t xml:space="preserve">CALLE REAL Y JR. PARRA DEL RIEGO </t>
  </si>
  <si>
    <t>JUNIN</t>
  </si>
  <si>
    <t>HUANCAYO</t>
  </si>
  <si>
    <t>EL TAMBO</t>
  </si>
  <si>
    <t>C1:2000:Diesel B5 S-50 </t>
  </si>
  <si>
    <t>C2:2000:GASOHOL 97 PLUS </t>
  </si>
  <si>
    <t>MIGUEL ANGEL SALAZAR LOAYZA</t>
  </si>
  <si>
    <t>119600-107-211016</t>
  </si>
  <si>
    <t>ESTACION DE SERVICIOS ANDAHUASI S.A.C.</t>
  </si>
  <si>
    <t>AV, HUAURA-SAYAN LOTE 100 ESQ CON CALLE SANTIAGO CORNEJO LOPEZ CP SAN JUAN DE CAÑAS</t>
  </si>
  <si>
    <t>SAYAN</t>
  </si>
  <si>
    <t>C1:8012:Diesel B5 S-50 </t>
  </si>
  <si>
    <t>C1:8012:GASOHOL 90 PLUS,GASOHOL 97 PLUS </t>
  </si>
  <si>
    <t>C1:5323:GASOHOL 95 PLUS </t>
  </si>
  <si>
    <t>DIONISIO FELICIANO AZAÑERO SALCEDO</t>
  </si>
  <si>
    <t>62240-107-070820</t>
  </si>
  <si>
    <t>INVERSIONES JIARA S.A.C.</t>
  </si>
  <si>
    <t>AV. ARICA NRO. 1301</t>
  </si>
  <si>
    <t>C1:3000:GASOHOL 90 PLUS C2:2000:GASOHOL 95 PLUS C3:2000:GASOHOL 97 PLUS C4:3000:Diesel B5 S-50 </t>
  </si>
  <si>
    <t>CARMEN CANDELARIA ARAMAYO ANDRADE DE JIMENEZ</t>
  </si>
  <si>
    <t>21006-107-110920</t>
  </si>
  <si>
    <t>PETROCENTRO YULIA S.A.C.</t>
  </si>
  <si>
    <t>AV. LA MARINA Nº 2789 ESQUINA CON AV. RAFAEL ESCARDO, URB MARANGA</t>
  </si>
  <si>
    <t>C1:7000:GASOHOL 95 PLUS </t>
  </si>
  <si>
    <t>ELSA ESPINOZA ORIHUELA DE SALAVERRY</t>
  </si>
  <si>
    <t>7170-107-121219</t>
  </si>
  <si>
    <t>AV. COLONIAL N° 300 (ANTES AV. OSCAR R. BENAVIDES) ESQUINA CON JR. ASCOPE</t>
  </si>
  <si>
    <t>6976-107-090318</t>
  </si>
  <si>
    <t>CARRETERA PANAMERICANA SUR KM 195.60 AV. OSCAR BENAVIDES S/N</t>
  </si>
  <si>
    <t>SUNAMPE</t>
  </si>
  <si>
    <t>C1:5000:GASOLINA 90 </t>
  </si>
  <si>
    <t>C1:2500:GASOLINA 84 </t>
  </si>
  <si>
    <t>C1:2500:GASOLINA 95 </t>
  </si>
  <si>
    <t>C1:2500:SIN PRODUCTO </t>
  </si>
  <si>
    <t>2750:GAS LICUADO DE PETROLEO </t>
  </si>
  <si>
    <t>39856-107-210716</t>
  </si>
  <si>
    <t>J.E. OPERADORES S.A.C.</t>
  </si>
  <si>
    <t>AV. NÉSTOR GAMBETA KM. 7.1, MZ. B-6, LOTES 1,2,3,4,5,6,7,8,43,44,45 Y 46, ESQUINA CON CALLE BRASILIA COOP. DE VIVIENDA DE LOS TRABAJADORES DE ENAPU</t>
  </si>
  <si>
    <t>C1:5190:Diesel B5 S-50 </t>
  </si>
  <si>
    <t>C1:5190:GASOHOL 90 PLUS </t>
  </si>
  <si>
    <t>C2:2580:GASOHOL 97 PLUS C1:2580:GASOHOL 95 PLUS </t>
  </si>
  <si>
    <t>VICENTE ENRIQUE MARCELO LOAYZA</t>
  </si>
  <si>
    <t>42769-107-130818</t>
  </si>
  <si>
    <t>AV. NICOLAS DUEÑAS N° 606, 610, 616 (ANTES AV. NICOLAS DUEÑAS N° 590. CDRA 17 DE LA AV. ARGENTINA)</t>
  </si>
  <si>
    <t>C1:5000:GASOHOL 95 PLUS C2:5000:GASOHOL 98 PLUS </t>
  </si>
  <si>
    <t>9513-107-110118</t>
  </si>
  <si>
    <t>GRIFO TRAPICHE S.R.L.</t>
  </si>
  <si>
    <t>AV. HEROES DEL ALTO CENEPA N° 697, LOTIZACIÓN FUNDO CHACRA CERRO</t>
  </si>
  <si>
    <t>FELIX ALBERTO HUAMAN QUISPE</t>
  </si>
  <si>
    <t>33179-107-130318</t>
  </si>
  <si>
    <t>AV. LAS PALMERAS MZ. A1 LOTES 2-3, ESQUINA CON AV. NARANJAL, URB. PARQUE NARANJAL II ETAPA</t>
  </si>
  <si>
    <t>C1:4000:Diesel B5 S-50 C2:4000:Diesel B5 S-50,SIN PRODUCTO </t>
  </si>
  <si>
    <t>C2:4000:SIN PRODUCTO </t>
  </si>
  <si>
    <t>7524-107-070716</t>
  </si>
  <si>
    <t>LUBRIGAS S.R.LTDA.</t>
  </si>
  <si>
    <t>CARRETERA CENTRAL KM. 2.5. LOTE 6-A1</t>
  </si>
  <si>
    <t>C1:6600:Diesel B5 S-50 </t>
  </si>
  <si>
    <t>C1:5250:SIN PRODUCTO </t>
  </si>
  <si>
    <t>C1:3300:GASOHOL 95 PLUS C2:3300:GASOHOL 90 PLUS </t>
  </si>
  <si>
    <t>94684-107-010615</t>
  </si>
  <si>
    <t>DUOGAS S.A.</t>
  </si>
  <si>
    <t xml:space="preserve">AV. ARICA N° 580 - 590 ESQ. CON JR. JORGE CHAVEZ </t>
  </si>
  <si>
    <t>C1:5000:Diesel B5 S-50 C2:3000:GASOHOL 95 PLUS </t>
  </si>
  <si>
    <t>C1:5000:GASOHOL 90 PLUS C2:3000:GASOHOL 97 PLUS </t>
  </si>
  <si>
    <t>RICARDO HERMAN MOLINA NAVARRO</t>
  </si>
  <si>
    <t>41375-107-301018</t>
  </si>
  <si>
    <t>AV. ANGAMOS ESTE N° 1715 ESQ. CON CALLE UNO</t>
  </si>
  <si>
    <t>6765-107-010218</t>
  </si>
  <si>
    <t>AV. REPUBLICA DE COLOMBIA N° 105-109</t>
  </si>
  <si>
    <t>SAN ISIDRO</t>
  </si>
  <si>
    <t>C1:3963:Diesel B5 S-50 C2:3963:Diesel B5 S-50 </t>
  </si>
  <si>
    <t>C1:7926:GASOHOL 95 PLUS </t>
  </si>
  <si>
    <t>C1:3963:GASOHOL 90 PLUS C2:3963:GASOHOL 90 PLUS </t>
  </si>
  <si>
    <t>C1:7926:GASOHOL 97 PLUS </t>
  </si>
  <si>
    <t>9021-107-030419</t>
  </si>
  <si>
    <t>OPERADORES DE ESTACIONES S.A.C.</t>
  </si>
  <si>
    <t>AV. CIRCUNVALACION Nº 1386</t>
  </si>
  <si>
    <t>C1:5200:GASOHOL 95 PLUS </t>
  </si>
  <si>
    <t>C1:5200:GASOHOL 90 PLUS </t>
  </si>
  <si>
    <t>C1:5200:GASOHOL 97 PLUS </t>
  </si>
  <si>
    <t>JOSABETH ELIANA MARCELO MOTTA</t>
  </si>
  <si>
    <t>39248-107-240718</t>
  </si>
  <si>
    <t>ESTACION DE SERVICIOS LURIN S.A.C.</t>
  </si>
  <si>
    <t>ANTIGUA CARRETERA PANAMERICANA SUR KM. 31, MZ. C LT.2 HUERTOS DE VILLENA</t>
  </si>
  <si>
    <t>C1:2700:GASOHOL 97 PLUS C2:2700:GASOHOL 90 PLUS </t>
  </si>
  <si>
    <t>C1:1800:GASOHOL 95 PLUS C2:2700:SIN PRODUCTO </t>
  </si>
  <si>
    <t>C1:5400:Diesel B5 S-50 </t>
  </si>
  <si>
    <t>RAUL HUMBERTO SOLIER REYNOSO</t>
  </si>
  <si>
    <t>9113-107-021018</t>
  </si>
  <si>
    <t>AV. JAVIER PRADO OESTE N° 1895 ESQUINA CALLE LOS CASTAÑOS</t>
  </si>
  <si>
    <t>19955-107-091118</t>
  </si>
  <si>
    <t>AV. NICOLAS AYLLON Nº 680, ESQ. CON AV. MEXICO</t>
  </si>
  <si>
    <t>C4:4000:Diesel B5 S-50 </t>
  </si>
  <si>
    <t xml:space="preserve">PATRICIA CECILIA DELGADO ZEGARRA </t>
  </si>
  <si>
    <t>7955-107-021020</t>
  </si>
  <si>
    <t>AV. LA MARINA N° 2185, ESQUINA AV. RIVA AGÜERO</t>
  </si>
  <si>
    <t>8479-107-121219</t>
  </si>
  <si>
    <t>AV. LA PAZ 1200, ESQUINA CALLE FRANCISCO DE ZELA</t>
  </si>
  <si>
    <t>9256-107-240320</t>
  </si>
  <si>
    <t>AV. VICTOR RAUL HAYA DE LA TORRE Nº 3850</t>
  </si>
  <si>
    <t>C1:3000:GASOHOL 95 PLUS C2:3000:GASOHOL 95 PLUS </t>
  </si>
  <si>
    <t>C1:3000:GASOHOL 90 PLUS C2:3000:GASOHOL 97 PLUS </t>
  </si>
  <si>
    <t>9593-107-270118</t>
  </si>
  <si>
    <t>AV. PRÓCERES DE LA INDEPENCIA Nº 104. URB ZARATE</t>
  </si>
  <si>
    <t>C1:4000:GASOHOL 95 PLUS C2:4000:SIN PRODUCTO </t>
  </si>
  <si>
    <t>18574-107-040319</t>
  </si>
  <si>
    <t>AV. JAVIER PRADO OESTE Nº 900-944-950-956. ESQUINA CON AV. JUAN DE ALIAGA</t>
  </si>
  <si>
    <t>C1:10000:GASOHOL 97 PLUS </t>
  </si>
  <si>
    <t>C1:10000:GASOHOL 84 PLUS </t>
  </si>
  <si>
    <t>JAQUELINE ESPINOZA ORIHUELA</t>
  </si>
  <si>
    <t>8538-107-121219</t>
  </si>
  <si>
    <t>JR. SALAVERRY N°478-480</t>
  </si>
  <si>
    <t>C1:4000:GASOLINA 95 C2:4000:GASOHOL 97 PLUS </t>
  </si>
  <si>
    <t>44165-107-200516</t>
  </si>
  <si>
    <t>DIESEL MAX S.R.L.</t>
  </si>
  <si>
    <t>AV. CRUZ BLANCA N° 996 ANTIGUA CARRETERA PANAMERICANA NORTE KM. 151 + 345</t>
  </si>
  <si>
    <t>HUALMAY</t>
  </si>
  <si>
    <t>C1:3960:Diesel B5 S-50 </t>
  </si>
  <si>
    <t>C1:1000:GASOHOL 90 PLUS C2:1000:GASOHOL 90 PLUS </t>
  </si>
  <si>
    <t>C1:930:GASOHOL 97 PLUS </t>
  </si>
  <si>
    <t>C1:930:Diesel B5 S-50 </t>
  </si>
  <si>
    <t>WALTER ALFREDO GARCÍA COLLANTES</t>
  </si>
  <si>
    <t>16723-107-260917</t>
  </si>
  <si>
    <t>SERVICENTRO SMILE S.A.</t>
  </si>
  <si>
    <t>CALLE LOS ORFEBREROS N° 129, URB. INDUSTRIAL EL ARTESANO</t>
  </si>
  <si>
    <t>C1:3400:GAS LICUADO DE PETROLEO </t>
  </si>
  <si>
    <t>C1:3000:GASOHOL 97 PLUS C2:3000:GASOHOL 95 PLUS </t>
  </si>
  <si>
    <t>C1:3000:Diesel B5 S-50 C2:3000:Diesel B5 S-50 </t>
  </si>
  <si>
    <t>NORMA ELIDA SANCHEZ BASTO</t>
  </si>
  <si>
    <t>8609-107-270217</t>
  </si>
  <si>
    <t>BIODIESEL PERU INTERNACIONAL S.A.C.</t>
  </si>
  <si>
    <t>CARRETERA PANAMERICANA SUR KM. 299.5</t>
  </si>
  <si>
    <t>SUBTANJALLA</t>
  </si>
  <si>
    <t>C1:6000:DIESEL B5,Diesel B5 S-50 </t>
  </si>
  <si>
    <t>5000:GAS LICUADO DE PETROLEO </t>
  </si>
  <si>
    <t>DIEGO GAMERO ULLOA</t>
  </si>
  <si>
    <t>15496-107-150318</t>
  </si>
  <si>
    <t>TERPEL PERU S.A.C</t>
  </si>
  <si>
    <t>AV.WIESSE SECTOR 3. LTE 41, MZ. G-8. PROLONGACION MARISCAL CACERES</t>
  </si>
  <si>
    <t>C1:4000:Diesel B5 S-50 C2:3000:GASOHOL 90 PLUS C3:3000:GASOHOL 95 PLUS </t>
  </si>
  <si>
    <t>114466-107-110320</t>
  </si>
  <si>
    <t>CARRETERA PANAMERICANA SUR KM 201</t>
  </si>
  <si>
    <t>C1:2000:GASOHOL 95 PLUS C2:2000:GASOHOL 97 PLUS C3:2000:Diesel B5 S-50 </t>
  </si>
  <si>
    <t>104494-107-230317</t>
  </si>
  <si>
    <t>DELTA ATE E.I.R.L.</t>
  </si>
  <si>
    <t>AV. NICOLAS AYLLON Nº 3620, CARRETERA CENTRAL ESQUINA CON AV. ATE</t>
  </si>
  <si>
    <t>C1:4200:GAS LICUADO DE PETROLEO </t>
  </si>
  <si>
    <t>C1:8118:Diesel B5 S-50 </t>
  </si>
  <si>
    <t>C1:3170:GASOHOL 95 PLUS C2:3170:GASOHOL 97 PLUS </t>
  </si>
  <si>
    <t>C1:6341:GASOHOL 90 PLUS </t>
  </si>
  <si>
    <t>C1:3268:GASOHOL 95 PLUS </t>
  </si>
  <si>
    <t>EDWARD FREDDY ATACHAGUA GOMEZ</t>
  </si>
  <si>
    <t>7124-107-030318</t>
  </si>
  <si>
    <t>AV. TOMAS MARSANO N° 1008 ESQUINA CON AV. ANGAMOS</t>
  </si>
  <si>
    <t>C1:7926:Diesel B5 S-50 </t>
  </si>
  <si>
    <t>C1:3963:GASOHOL 90 PLUS C2:3963:SIN PRODUCTO </t>
  </si>
  <si>
    <t>C1:3963:SIN PRODUCTO C2:3963:GASOHOL 97 PLUS </t>
  </si>
  <si>
    <t>2500:GLP - G </t>
  </si>
  <si>
    <t>7109-107-270118</t>
  </si>
  <si>
    <t>AV. TINGO MARIA N° 1172-1194, ESQ. CON RAUL PORRAS BARRENECHEA</t>
  </si>
  <si>
    <t>7325-107-301219</t>
  </si>
  <si>
    <t>PANAMERICANA SUR KM. 300, SUB LOTE B</t>
  </si>
  <si>
    <t>C1:6500:Diesel B5 S-50 </t>
  </si>
  <si>
    <t>C1:2000:SIN PRODUCTO </t>
  </si>
  <si>
    <t>C1:1500:GASOHOL 97 PLUS C2:1500:GASOHOL 95 PLUS </t>
  </si>
  <si>
    <t>60668-107-300720</t>
  </si>
  <si>
    <t>ANCO GAS S.A.C.</t>
  </si>
  <si>
    <t>AV. CONDORCANQUI Nº 1294, URB. SANTO DOMINGO, 5TA ETAPA</t>
  </si>
  <si>
    <t>C1:3000:GASOHOL 95 PLUS C2:3000:GASOHOL 90 PLUS </t>
  </si>
  <si>
    <t>HERNAN EDUARDO ANCO MEZA</t>
  </si>
  <si>
    <t>44632-107-231017</t>
  </si>
  <si>
    <t>GASOCENTRO Y AUTOSERVICIOS REAL S.A.C.</t>
  </si>
  <si>
    <t>MZ. AG LOTE 08 ANEXO 22 COMUNIDAD CAMPESINA JICAMARCA</t>
  </si>
  <si>
    <t>C1:1572:GASOHOL 90 PLUS </t>
  </si>
  <si>
    <t>GUILLERMO REBOLLAR AGUIRRE</t>
  </si>
  <si>
    <t>96316-107-070319</t>
  </si>
  <si>
    <t>AV. REPUBLICA DE PANAMÁ MZ. 8, LOTES 5 Y 6, SUB-LOTE 1 – URB. CHACARITAS</t>
  </si>
  <si>
    <t>C1:3100:GAS LICUADO DE PETROLEO </t>
  </si>
  <si>
    <t>C1:4000:Diesel B2 S-50 C2:5000:GASOHOL 90 PLUS </t>
  </si>
  <si>
    <t>19989-107-020120</t>
  </si>
  <si>
    <t>AV. TOMAS MARSANO Nº 4080 ESQUINA CON AV. SURCO</t>
  </si>
  <si>
    <t>37044-107-101214</t>
  </si>
  <si>
    <t>RED OPERADORA DE ENERGIA S.A.C.</t>
  </si>
  <si>
    <t>AV. PACHACUTEC N° 1700</t>
  </si>
  <si>
    <t>C1:6000:GASOLINA 90 </t>
  </si>
  <si>
    <t>C1:3000:GASOLINA 95 </t>
  </si>
  <si>
    <t>C1:6000:GASOLINA 84 </t>
  </si>
  <si>
    <t>C2:3000:GASOHOL 98 PLUS </t>
  </si>
  <si>
    <t>FERNANDO MARCELO CAMPOS PURIS</t>
  </si>
  <si>
    <t>7302-107-221119</t>
  </si>
  <si>
    <t>AV. NICOLAS AYLLÓN N° 4359</t>
  </si>
  <si>
    <t>C1:7200:GASOHOL 90 PLUS </t>
  </si>
  <si>
    <t>7310-107-161219</t>
  </si>
  <si>
    <t>AV. BOLIVAR N° 1020. ESQ CON AV. GENERAL CORDOVA</t>
  </si>
  <si>
    <t>9529-107-020920</t>
  </si>
  <si>
    <t>GRIFOS VITO S.A.</t>
  </si>
  <si>
    <t>AV. EL SOL Nº 101, CANTO GRANDE</t>
  </si>
  <si>
    <t>ISIDORO BLAS ARQUINIGO</t>
  </si>
  <si>
    <t>9573-107-211116</t>
  </si>
  <si>
    <t>SERVICENTRO GERMANICO F.H. S.A.C.</t>
  </si>
  <si>
    <t>AV. REPUBLICA DE PANAMA N° 6901-A ESQ. CON AV. MARISCAL CASTILLA</t>
  </si>
  <si>
    <t>LUZ GABRIELA ROJAS QUISPE</t>
  </si>
  <si>
    <t>42387-107-131219</t>
  </si>
  <si>
    <t>CARRETERA CENTRAL KM. 16 (AV. NICOLAS AYLLON S/N, MZ. A, LOTE 1) PROGRAMA DE VIVIENDA LAS PRADERAS</t>
  </si>
  <si>
    <t>19976-107-150120</t>
  </si>
  <si>
    <t>INVERSIONES LUISAGAS S.A.C.</t>
  </si>
  <si>
    <t>MZ. I LT. 24 AA.HH. HEROES DE SAN JUAN, PAMPAS DE SAN JUAN</t>
  </si>
  <si>
    <t>C1:2300:GAS LICUADO DE PETROLEO </t>
  </si>
  <si>
    <t>C1:2000:GASOHOL 95 PLUS C2:1500:Diesel B5 S-50 </t>
  </si>
  <si>
    <t>C1:2050:GASOHOL 90 PLUS C2:1500:GASOHOL 90 PLUS </t>
  </si>
  <si>
    <t>85107-107-240120</t>
  </si>
  <si>
    <t>INVERSIONES GASSURCO S.A.C.</t>
  </si>
  <si>
    <t>AV. GUARDIA CIVIL MZ. B. LT 1, URB. SANTA ROSA DE SURCO</t>
  </si>
  <si>
    <t>C1:5000:GASOHOL 97 PLUS C2:5000:GASOHOL 90 PLUS </t>
  </si>
  <si>
    <t>82903-107-240718</t>
  </si>
  <si>
    <t>AV. GRAU N° 1308 ESQ JR. HUANUCO Nª 1101</t>
  </si>
  <si>
    <t>C1:2612:GASOHOL 95 PLUS C2:5268:GASOHOL 90 PLUS </t>
  </si>
  <si>
    <t>C1:7979:Diesel B5 S-50 </t>
  </si>
  <si>
    <t>C1:5290:SIN PRODUCTO C2:2601:SIN PRODUCTO </t>
  </si>
  <si>
    <t>6840-107-220118</t>
  </si>
  <si>
    <t>AV. NICOLAS AYLLON N° 1340</t>
  </si>
  <si>
    <t>C1:4000:GASOHOL 97 PLUS C2:4000:GASOHOL 84 PLUS </t>
  </si>
  <si>
    <t>18289-107-081219</t>
  </si>
  <si>
    <t>ESQUINA AV. PASEO DE LA REPUBLICA CON AV. ISABEL LA CATOLICA S/N</t>
  </si>
  <si>
    <t>C1:2000:GASOHOL 97 PLUS C2:4000:GASOHOL 90 PLUS C3:2000:GASOHOL 95 PLUS </t>
  </si>
  <si>
    <t>94176-107-300919</t>
  </si>
  <si>
    <t>ESTACION EL OVALO E.I.R.L.</t>
  </si>
  <si>
    <t>AV FERNANDO LEON DE VIVERO S/N LOTE Nº 2 PREDIO MONTERRICO</t>
  </si>
  <si>
    <t>C1:7800:GAS LICUADO DE PETROLEO </t>
  </si>
  <si>
    <t>C1:7900:Diesel B5 S-50 </t>
  </si>
  <si>
    <t>C1:3000:GASOHOL 95 PLUS C2:3400:GASOHOL 90 PLUS C3:1500:GASOHOL 97 PLUS </t>
  </si>
  <si>
    <t>LIDIA EMILIA CABRERA HUAROTO</t>
  </si>
  <si>
    <t>39783-107-141119</t>
  </si>
  <si>
    <t>AV. LA MARINA N° 589, ESQUINA CON AV. SUCRE N° 1201-1203</t>
  </si>
  <si>
    <t>C1:1500:Diesel B5 S-50 C2:1500:GASOHOL 90 PLUS C3:1500:GASOHOL 95 PLUS C4:1500:GASOHOL 97 PLUS </t>
  </si>
  <si>
    <t>86138-107-131219</t>
  </si>
  <si>
    <t>AV. TOMAS VALLE, ESQUINA AV. BETA, SECCION A-1, FUNDO GARAGAY BAJO, SECTOR B</t>
  </si>
  <si>
    <t>C1:8682:Diesel B5 S-50 </t>
  </si>
  <si>
    <t>C1:2675:GASOHOL 95 PLUS C2:3199:GASOHOL 90 PLUS C3:2675:GASOHOL 97 PLUS </t>
  </si>
  <si>
    <t>17944-107-161219</t>
  </si>
  <si>
    <t>AV. ARICA 481, ESQUINA CON JR. GENERAL VARELA Y JR. REBECA OQUENDO</t>
  </si>
  <si>
    <t>C1:2750:GAS LICUADO DE PETROLEO </t>
  </si>
  <si>
    <t>7328-107-231020</t>
  </si>
  <si>
    <t>GASOCENTRO OVAL S.A.C.</t>
  </si>
  <si>
    <t>AV. PANAMERICANA NORTE N° 1270 (ANTES CARRETERA PANAMERICANA NORTE KM 148)</t>
  </si>
  <si>
    <t>KARIN JOANA ZAMORA DULANTO</t>
  </si>
  <si>
    <t>16804-107-270818</t>
  </si>
  <si>
    <t>SERVICENTRO LOS ROSALES S.A.</t>
  </si>
  <si>
    <t>AV. AYACUCHO Nº 140</t>
  </si>
  <si>
    <t>LUIS EDUARDO DEL AGUILA OLORTEGUI</t>
  </si>
  <si>
    <t>7282-107-031017</t>
  </si>
  <si>
    <t>GRIFO SANTO DOMINGO DE GUZMAN S.R.L.</t>
  </si>
  <si>
    <t xml:space="preserve">AV. RAMIRO PRIALE COD. PREDIO/PARCELA L, SUBLOTE 28-B, SUB LOTE 23-A DE LA ASOCIACION DIGNIDAD NACIONAL CON FRENTE AL SUBLOTE 23-D ( CARRETERA RAMIRO </t>
  </si>
  <si>
    <t>C1:2500:GASOHOL 97 PLUS C2:3100:GASOHOL 95 PLUS C3:1900:GASOHOL 95 PLUS </t>
  </si>
  <si>
    <t>LEOCADIO JESUS LINDO ZARATE</t>
  </si>
  <si>
    <t>8332-107-010218</t>
  </si>
  <si>
    <t>GREGORIO ESCOBEDO ESQ. CON HUIRACOCHA</t>
  </si>
  <si>
    <t>8258-107-161219</t>
  </si>
  <si>
    <t>AV. AREQUIPA N° 1890 ESQUINA CON AV. JOSE PARDO DE ZELA</t>
  </si>
  <si>
    <t>84588-107-240820</t>
  </si>
  <si>
    <t>AV. JAVIER PRADO ESTE, MZ. O-6 LOTE 3 ESQUINA CALLE. TOULON URB. LA RIVERA DE MONTERRICO</t>
  </si>
  <si>
    <t>C1:4000:Diesel B5 S-50 C2:2000:GASOHOL 90 PLUS </t>
  </si>
  <si>
    <t>114526-107-190418</t>
  </si>
  <si>
    <t>GRANEL INDUSTRIAL S.A.C.</t>
  </si>
  <si>
    <t>AV. LA MARINA N° 558 CARRETERA PANAMERICANA NORTE PREDIO RURAL LA ENCALADA U.C. 11469</t>
  </si>
  <si>
    <t>LA LIBERTAD</t>
  </si>
  <si>
    <t>TRUJILLO</t>
  </si>
  <si>
    <t>MOCHE</t>
  </si>
  <si>
    <t>C1:5000:Diesel B5 S-50 C2:1000:GASOHOL 95 PLUS C3:1000:GASOHOL 97 PLUS C4:1500:GASOHOL 90 PLUS </t>
  </si>
  <si>
    <t>HUMBERTO ALEJANDRO LAZO MALDONADO</t>
  </si>
  <si>
    <t>8035-107-280820</t>
  </si>
  <si>
    <t>BRATA S.R.L.</t>
  </si>
  <si>
    <t>AV. AGUSTIN DE LA ROSA TORO N° 1312-1330-1334-1342-1346-1354-1358 ESQUINA CON AV. JAVIER PRADO ESTE N° 3095 URB. JACARANDA II - SECTOR CINCO</t>
  </si>
  <si>
    <t>SAN BORJA</t>
  </si>
  <si>
    <t>C1:2721:GAS LICUADO DE PETROLEO </t>
  </si>
  <si>
    <t>C1:4000:SIN PRODUCTO C2:4000:GASOHOL 97 PLUS </t>
  </si>
  <si>
    <t>RENZO ETTORE BRAZZODURO TABUSSO</t>
  </si>
  <si>
    <t>84522-107-301218</t>
  </si>
  <si>
    <t>OCTANO PERU S.A.C.</t>
  </si>
  <si>
    <t>AV. TOMAS VALLE N° 1207</t>
  </si>
  <si>
    <t>C1:4000:GASOHOL 90 PLUS C2:2000:GASOHOL 97 PLUS C3:2000:GASOHOL 95 PLUS </t>
  </si>
  <si>
    <t>DIEGO GONZALES POSADA DE COSSIO</t>
  </si>
  <si>
    <t>83926-107-050116</t>
  </si>
  <si>
    <t>VIJOGAS S.A.C.</t>
  </si>
  <si>
    <t>AV. SANTA ROSA N 610, ESQUINA JR. LOS SAUCES</t>
  </si>
  <si>
    <t>C1:3000:GASOHOL 97 PLUS C2:3000:GASOHOL 90 PLUS </t>
  </si>
  <si>
    <t>JOSE BERNARDO HERVACIO ZANABRIA</t>
  </si>
  <si>
    <t>62083-107-300920</t>
  </si>
  <si>
    <t>AV. PROLONGACION GRAU - PARCELA 10-A</t>
  </si>
  <si>
    <t>PARCONA</t>
  </si>
  <si>
    <t>C1:2500:GASOHOL 97 PLUS C2:2500:GASOHOL 95 PLUS C3:2500:GASOHOL 90 PLUS </t>
  </si>
  <si>
    <t>6000:GAS LICUADO DE PETROLEO </t>
  </si>
  <si>
    <t>8336-107-030418</t>
  </si>
  <si>
    <t>AV. JAVIER PRADO ESTE N° 1059</t>
  </si>
  <si>
    <t>C1:7925:GASOHOL 95 PLUS </t>
  </si>
  <si>
    <t>C1:7925:Diesel B5 S-50 </t>
  </si>
  <si>
    <t>C1:7925:GASOHOL 90 PLUS </t>
  </si>
  <si>
    <t>C1:3962:GASOHOL 97 PLUS C2:3962:GASOHOL 97 PLUS </t>
  </si>
  <si>
    <t>7089-107-150212</t>
  </si>
  <si>
    <t>ESTACION CORMAR S.A.</t>
  </si>
  <si>
    <t>AV. CARRETERA CENTRAL S/N KM. 2.5 VITARTE ESQ. AV. INGENIEROS URB. BUENOS AMIGOS</t>
  </si>
  <si>
    <t>C1:4029:GASOHOL 95 PLUS C2:2015:SIN PRODUCTO </t>
  </si>
  <si>
    <t>C1:4126:GASOHOL 90 PLUS C2:2052:GASOHOL 84 PLUS C3:2052:GASOHOL 97 PLUS </t>
  </si>
  <si>
    <t>C1:8050:Diesel B5 S-50 </t>
  </si>
  <si>
    <t>MARIA ISABEL VARGAS CABIESES</t>
  </si>
  <si>
    <t>8063-107-080519</t>
  </si>
  <si>
    <t>AV. JAVIER PRADO ESTE S/N CUADRA 44, URB. FUNDO MONTERRICO CHICO</t>
  </si>
  <si>
    <t>18401-107-221119</t>
  </si>
  <si>
    <t>GASOLINERAS S.A.C.</t>
  </si>
  <si>
    <t>AV. 28 DE JULIO 159. ESQUINA CON AV. BRASIL</t>
  </si>
  <si>
    <t>C1:6034.2:GASOHOL 95 PLUS </t>
  </si>
  <si>
    <t>C1:6034.2:GASOHOL 97 PLUS </t>
  </si>
  <si>
    <t>C1:4015.4:GASOHOL 95 PLUS </t>
  </si>
  <si>
    <t>DAVID FRANCISCO CORDOVA RASCHIO</t>
  </si>
  <si>
    <t>9515-107-210220</t>
  </si>
  <si>
    <t>SERVICENTRO SHALOM SAC</t>
  </si>
  <si>
    <t>AV. NACIONES UNIDAS 1222 MZ. K URB. SAN RAFAEL</t>
  </si>
  <si>
    <t>C1:4000:SIN PRODUCTO C2:4000:SIN PRODUCTO </t>
  </si>
  <si>
    <t>82985-107-080314</t>
  </si>
  <si>
    <t>ALTAVIDDA GAS SAC</t>
  </si>
  <si>
    <t>JR. LOS HORNOS Nº 149</t>
  </si>
  <si>
    <t>C1:1500:GASOHOL 95 PLUS C2:3000:GASOHOL 90 PLUS </t>
  </si>
  <si>
    <t>C1:1000:GASOHOL 84 PLUS C2:3500:Diesel B5 S-50 </t>
  </si>
  <si>
    <t xml:space="preserve">LUIS MAURICIO ORTEGA SANCHEZ </t>
  </si>
  <si>
    <t>17906-107-131219</t>
  </si>
  <si>
    <t>AV. PROCERES DE LA INDEPENDENCIA N° 3299, ESQ. CON AV. EL BOSQUE, URB. CANTO GRANDE, MZ. B - LT. 06</t>
  </si>
  <si>
    <t>45439-107-260419</t>
  </si>
  <si>
    <t xml:space="preserve">LIVORNO OIL TRADING S.A.C. </t>
  </si>
  <si>
    <t>AV. JAIME BAUZATE Y MEZA N° 564-568</t>
  </si>
  <si>
    <t>C1:8012:GASOHOL 90 PLUS </t>
  </si>
  <si>
    <t>JULIO CESAR LEON CAJALEON</t>
  </si>
  <si>
    <t>8642-107-110717</t>
  </si>
  <si>
    <t>COMERCIALIZADORA DE COMBUSTIBLES TRIVEÑO S.A.C.</t>
  </si>
  <si>
    <t>AV. JOSE MATIAS MANZANILLA N°200</t>
  </si>
  <si>
    <t>C1:8000:GASOHOL 98 PLUS </t>
  </si>
  <si>
    <t>ROMULO TRIVEÑO PINTO</t>
  </si>
  <si>
    <t>18571-107-030819</t>
  </si>
  <si>
    <t>GRUPPE AR S.A.C.</t>
  </si>
  <si>
    <t>AV. UNIVERSITARIA N° 9957, MZ-A1, LT 4, 5, 6 Y 7 - URB. LA ALBORADA</t>
  </si>
  <si>
    <t>43245-107-021020</t>
  </si>
  <si>
    <t>CARRETERA PANAMERICANA NORTE KM. 27.5, PARCELA N° 10271- TAMBO INGA</t>
  </si>
  <si>
    <t>C1:3070:GASOHOL 90 PLUS C2:545:SIN PRODUCTO </t>
  </si>
  <si>
    <t>C1:1000:GASOHOL 95 PLUS </t>
  </si>
  <si>
    <t xml:space="preserve">EUDOLIO FRANCISCO PONTE VILLANUEVA </t>
  </si>
  <si>
    <t>125850-107-190219</t>
  </si>
  <si>
    <t>ALTA VIDDA GAS S.A.C</t>
  </si>
  <si>
    <t>MZ N, LOTE 9 PARCELACION SEMI RUSTICA DEL FUNDO CANTO GRANDE 2DA ETAPA</t>
  </si>
  <si>
    <t>C1:4000:Diesel B5 S-50 C2:2000:GASOHOL 84 PLUS </t>
  </si>
  <si>
    <t>C1:2000:GASOHOL 95 PLUS C2:4000:GASOHOL 90 PLUS </t>
  </si>
  <si>
    <t>LUIS MAURICIO ORTEGA SANCHEZ</t>
  </si>
  <si>
    <t>132204-107-090320</t>
  </si>
  <si>
    <t>AV. NICOLAS ARRIOLA N° 2140 ESQUINA CON AV. SAN LUIS, URBANIZACION SAN LUIS</t>
  </si>
  <si>
    <t>C1:10000:SIN PRODUCTO </t>
  </si>
  <si>
    <t>7161-107-140917</t>
  </si>
  <si>
    <t>LMC COMBUSTIBLES S.A.</t>
  </si>
  <si>
    <t>AV. CIRCUNVALACION N° 2944</t>
  </si>
  <si>
    <t>LUIS ENRIQUE FLORES FERNANDEZ</t>
  </si>
  <si>
    <t>40353-107-121219</t>
  </si>
  <si>
    <t>AV. CIRCUNVALACION N° 377, ESQ. CON PROLONGACIÓN BENAVIDES</t>
  </si>
  <si>
    <t>C1:2500:GASOHOL 97 PLUS C2:5500:GASOHOL 90 PLUS </t>
  </si>
  <si>
    <t>7321-107-280920</t>
  </si>
  <si>
    <t>CORPORACIÓN RIO BRANCO S.A.</t>
  </si>
  <si>
    <t xml:space="preserve">AV. CORONEL PARRA N° 270-280 </t>
  </si>
  <si>
    <t>PILCOMAYO</t>
  </si>
  <si>
    <t>C1:10000:GAS LICUADO DE PETROLEO </t>
  </si>
  <si>
    <t>C1:5002:Diesel B5 S-50 </t>
  </si>
  <si>
    <t>C1:6793:Diesel B5 S-50 </t>
  </si>
  <si>
    <t>C1:3842:GASOHOL 95 PLUS C2:3842:GASOHOL 97 PLUS </t>
  </si>
  <si>
    <t>C1:4795:GASOHOL 90 PLUS </t>
  </si>
  <si>
    <t>C1:11020:Diesel B5 S-50 </t>
  </si>
  <si>
    <t>MOISES LUCAS MENDOZA ESTEBAN</t>
  </si>
  <si>
    <t>95739-107-140619</t>
  </si>
  <si>
    <t xml:space="preserve">TRAILER GAS S.A.C. </t>
  </si>
  <si>
    <t xml:space="preserve">AV.ALFREDO MENDIOLA N° 6810, ESQ. CON AV.SAN MIGUEL Y CALLE SAN LUIS </t>
  </si>
  <si>
    <t>C1:5504:Diesel B5 S-50 </t>
  </si>
  <si>
    <t>C1:2504:GASOHOL 90 PLUS C2:2504:GASOHOL 90 PLUS </t>
  </si>
  <si>
    <t>DE LA BORDA ZAPATA PEDRO MARTIN</t>
  </si>
  <si>
    <t>6780-107-060319</t>
  </si>
  <si>
    <t>AV. ELMER FAUCETT NO. 384</t>
  </si>
  <si>
    <t>16143-107-271219</t>
  </si>
  <si>
    <t>COOPERATIVA DE SERVICIOS MULTIPLES ALAS PERUANAS</t>
  </si>
  <si>
    <t>ESQ. DE LA AV. VENEZUELA Nº 3343 CON JR. ARISTIDES DEL CARPIO, URB. INDUSTRIAL PALOMINO</t>
  </si>
  <si>
    <t>C1:1320:GAS LICUADO DE PETROLEO </t>
  </si>
  <si>
    <t>18351-107-040319</t>
  </si>
  <si>
    <t>AV. REPUBLICA DE PANAMA Nº 3690 - 3696</t>
  </si>
  <si>
    <t>6783-107-040319</t>
  </si>
  <si>
    <t>AV. NICOLAS ARRIOLA N° 295 URB. SANTA CATALINA</t>
  </si>
  <si>
    <t>125695-107-010819</t>
  </si>
  <si>
    <t>AV HEROES DEL ALTO CENEPA, LTE 27 (AUTOPISTA TRAPICHE - CHILLON)</t>
  </si>
  <si>
    <t>C1:8117:Diesel B5 S-50 </t>
  </si>
  <si>
    <t>C1:8117:GASOHOL 90 PLUS </t>
  </si>
  <si>
    <t>C1:4036:GASOHOL 95 PLUS C2:4036:GASOHOL 97 PLUS </t>
  </si>
  <si>
    <t>C1:4091:GASOHOL 95 PLUS </t>
  </si>
  <si>
    <t>19952-107-020316</t>
  </si>
  <si>
    <t>SERVICENTRO TITI S.A.C.</t>
  </si>
  <si>
    <t>ESQUINA DE AV. SAN LUIS CON PABLO PATRÓN 120 URB. SAN PABLO</t>
  </si>
  <si>
    <t>JUAN JOSE PANDURO CALDAS</t>
  </si>
  <si>
    <t>86266-107-010717</t>
  </si>
  <si>
    <t xml:space="preserve">AV. JAVIER PRADO ESTE Nª 5411 </t>
  </si>
  <si>
    <t>15725-107-300119</t>
  </si>
  <si>
    <t>AV. LA PAZ N° 2326</t>
  </si>
  <si>
    <t>17859-107-290419</t>
  </si>
  <si>
    <t>JR. ABTAO N° 784, ESQ. CON JR. HIPOLITO UNANUE</t>
  </si>
  <si>
    <t>61805-107-141118</t>
  </si>
  <si>
    <t xml:space="preserve">ESCOH S.A.C. </t>
  </si>
  <si>
    <t>AV. MARISCAL OSCAR R. BENAVIDES N° 914 - 916</t>
  </si>
  <si>
    <t>CHINCHA ALTA</t>
  </si>
  <si>
    <t>C1:500:GASOHOL 95 PLUS C2:1000:GASOHOL 90 PLUS C3:1000:GASOHOL 97 PLUS C4:4500:Diesel B5 S-50 </t>
  </si>
  <si>
    <t>9512-107-171119</t>
  </si>
  <si>
    <t>AV. CANTA CALLAO MZ.G LT.4, URB. LOS HUERTOS DEL NARANJAL</t>
  </si>
  <si>
    <t>C1:4500:GASOHOL 90 PLUS C2:1500:GASOHOL 84 PLUS </t>
  </si>
  <si>
    <t>C1:5000:Diesel B5 S-50 C2:1500:GASOHOL 98 PLUS C3:1500:GASOHOL 95 PLUS </t>
  </si>
  <si>
    <t>16644-107-271119</t>
  </si>
  <si>
    <t>AV. AREQUIPA Nº 908, ESQUINA CON JR. EMILIO FERNANDEZ - URB. SANTA BEATRIZ</t>
  </si>
  <si>
    <t>125855-107-111219</t>
  </si>
  <si>
    <t>AV. DEFENSORES DEL MORRO (EX AV. HUAYLAS) N° 1391 H.U. EL MORRO</t>
  </si>
  <si>
    <t>C1:3500:GASOHOL 95 PLUS C2:2500:GASOHOL 90 PLUS </t>
  </si>
  <si>
    <t>C1:3500:Diesel B5 S-50 C2:2500:GASOHOL 97 PLUS </t>
  </si>
  <si>
    <t>15664-107-120218</t>
  </si>
  <si>
    <t>AV. NICOLAS AYLLON N° 1500</t>
  </si>
  <si>
    <t>CHACLACAYO</t>
  </si>
  <si>
    <t>7250:GAS LICUADO DE PETROLEO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</si>
</sst>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0E0E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/>
      <right style="thin">
        <color rgb="FF000080"/>
      </right>
      <top style="thin">
        <color rgb="FF000080"/>
      </top>
      <bottom style="thin">
        <color rgb="FF00008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0" fillId="34" borderId="10" xfId="0" applyFill="1" applyBorder="1" applyAlignment="1">
      <alignment wrapText="1"/>
    </xf>
    <xf numFmtId="14" fontId="0" fillId="34" borderId="10" xfId="0" applyNumberFormat="1" applyFill="1" applyBorder="1" applyAlignment="1">
      <alignment wrapText="1"/>
    </xf>
    <xf numFmtId="0" fontId="0" fillId="35" borderId="10" xfId="0" applyFill="1" applyBorder="1" applyAlignment="1">
      <alignment wrapText="1"/>
    </xf>
    <xf numFmtId="14" fontId="0" fillId="35" borderId="10" xfId="0" applyNumberFormat="1" applyFill="1" applyBorder="1" applyAlignment="1">
      <alignment wrapText="1"/>
    </xf>
    <xf numFmtId="0" fontId="16" fillId="0" borderId="0" xfId="0" applyFont="1" applyAlignment="1">
      <alignment horizontal="center" wrapText="1"/>
    </xf>
    <xf numFmtId="0" fontId="0" fillId="0" borderId="0" xfId="0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srvtest03.osinerg.gob.pe:23314/msfh5/images/Logo-azul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832513</xdr:colOff>
      <xdr:row>3</xdr:row>
      <xdr:rowOff>47767</xdr:rowOff>
    </xdr:to>
    <xdr:pic>
      <xdr:nvPicPr>
        <xdr:cNvPr id="1025" name="Picture 1" descr="Logo Osinergmin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70997" cy="580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02"/>
  <sheetViews>
    <sheetView showGridLines="0" tabSelected="1" workbookViewId="0"/>
  </sheetViews>
  <sheetFormatPr baseColWidth="10" defaultRowHeight="14" x14ac:dyDescent="0.3"/>
  <cols>
    <col min="1" max="1" width="3.8984375" customWidth="1"/>
    <col min="2" max="2" width="13.796875" customWidth="1"/>
    <col min="3" max="3" width="19.5" bestFit="1" customWidth="1"/>
    <col min="4" max="4" width="17.69921875" bestFit="1" customWidth="1"/>
    <col min="5" max="5" width="11.8984375" bestFit="1" customWidth="1"/>
    <col min="6" max="7" width="44.796875" bestFit="1" customWidth="1"/>
    <col min="8" max="9" width="23.09765625" bestFit="1" customWidth="1"/>
    <col min="10" max="10" width="23.69921875" bestFit="1" customWidth="1"/>
    <col min="11" max="11" width="38.296875" bestFit="1" customWidth="1"/>
    <col min="12" max="19" width="44.796875" bestFit="1" customWidth="1"/>
    <col min="20" max="20" width="29.19921875" bestFit="1" customWidth="1"/>
    <col min="21" max="21" width="16.8984375" bestFit="1" customWidth="1"/>
    <col min="22" max="22" width="18.19921875" bestFit="1" customWidth="1"/>
    <col min="23" max="23" width="17.796875" bestFit="1" customWidth="1"/>
    <col min="24" max="24" width="16" bestFit="1" customWidth="1"/>
    <col min="25" max="25" width="12.19921875" bestFit="1" customWidth="1"/>
    <col min="26" max="26" width="20.3984375" bestFit="1" customWidth="1"/>
    <col min="27" max="27" width="44.796875" bestFit="1" customWidth="1"/>
    <col min="28" max="28" width="20" bestFit="1" customWidth="1"/>
  </cols>
  <sheetData>
    <row r="2" spans="1:28" ht="14" customHeight="1" x14ac:dyDescent="0.3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6" spans="1:28" x14ac:dyDescent="0.3">
      <c r="A6" s="1" t="s">
        <v>1</v>
      </c>
      <c r="B6" s="2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13</v>
      </c>
      <c r="N6" s="1" t="s">
        <v>14</v>
      </c>
      <c r="O6" s="1" t="s">
        <v>15</v>
      </c>
      <c r="P6" s="1" t="s">
        <v>16</v>
      </c>
      <c r="Q6" s="1" t="s">
        <v>17</v>
      </c>
      <c r="R6" s="1" t="s">
        <v>18</v>
      </c>
      <c r="S6" s="1" t="s">
        <v>19</v>
      </c>
      <c r="T6" s="1" t="s">
        <v>20</v>
      </c>
      <c r="U6" s="1" t="s">
        <v>21</v>
      </c>
      <c r="V6" s="1" t="s">
        <v>22</v>
      </c>
      <c r="W6" s="1" t="s">
        <v>23</v>
      </c>
      <c r="X6" s="1" t="s">
        <v>24</v>
      </c>
      <c r="Y6" s="1" t="s">
        <v>25</v>
      </c>
      <c r="Z6" s="1" t="s">
        <v>26</v>
      </c>
      <c r="AA6" s="1" t="s">
        <v>27</v>
      </c>
      <c r="AB6" s="1" t="s">
        <v>28</v>
      </c>
    </row>
    <row r="7" spans="1:28" ht="27.95" x14ac:dyDescent="0.3">
      <c r="A7" s="3">
        <v>1</v>
      </c>
      <c r="B7" s="3" t="str">
        <f>"201900083095"</f>
        <v>201900083095</v>
      </c>
      <c r="C7" s="3" t="str">
        <f>"17870"</f>
        <v>17870</v>
      </c>
      <c r="D7" s="3" t="s">
        <v>29</v>
      </c>
      <c r="E7" s="3">
        <v>20511995028</v>
      </c>
      <c r="F7" s="3" t="s">
        <v>30</v>
      </c>
      <c r="G7" s="3" t="s">
        <v>31</v>
      </c>
      <c r="H7" s="3" t="s">
        <v>32</v>
      </c>
      <c r="I7" s="3" t="s">
        <v>32</v>
      </c>
      <c r="J7" s="3" t="s">
        <v>32</v>
      </c>
      <c r="K7" s="3" t="s">
        <v>33</v>
      </c>
      <c r="L7" s="3" t="s">
        <v>34</v>
      </c>
      <c r="M7" s="3" t="s">
        <v>35</v>
      </c>
      <c r="N7" s="3" t="s">
        <v>36</v>
      </c>
      <c r="O7" s="3" t="s">
        <v>37</v>
      </c>
      <c r="P7" s="3" t="s">
        <v>38</v>
      </c>
      <c r="Q7" s="3" t="s">
        <v>39</v>
      </c>
      <c r="R7" s="3"/>
      <c r="S7" s="3"/>
      <c r="T7" s="3"/>
      <c r="U7" s="3">
        <v>36000</v>
      </c>
      <c r="V7" s="3">
        <v>2000</v>
      </c>
      <c r="W7" s="3">
        <v>0</v>
      </c>
      <c r="X7" s="3">
        <v>1504</v>
      </c>
      <c r="Y7" s="4">
        <v>43615</v>
      </c>
      <c r="Z7" s="3" t="s">
        <v>40</v>
      </c>
      <c r="AA7" s="3" t="s">
        <v>41</v>
      </c>
      <c r="AB7" s="3">
        <v>0</v>
      </c>
    </row>
    <row r="8" spans="1:28" ht="41.95" x14ac:dyDescent="0.3">
      <c r="A8" s="5">
        <v>2</v>
      </c>
      <c r="B8" s="5" t="str">
        <f>"201800035356"</f>
        <v>201800035356</v>
      </c>
      <c r="C8" s="5" t="str">
        <f>"102990"</f>
        <v>102990</v>
      </c>
      <c r="D8" s="5" t="s">
        <v>42</v>
      </c>
      <c r="E8" s="5">
        <v>20517767396</v>
      </c>
      <c r="F8" s="5" t="s">
        <v>43</v>
      </c>
      <c r="G8" s="5" t="s">
        <v>44</v>
      </c>
      <c r="H8" s="5" t="s">
        <v>45</v>
      </c>
      <c r="I8" s="5" t="s">
        <v>45</v>
      </c>
      <c r="J8" s="5" t="s">
        <v>45</v>
      </c>
      <c r="K8" s="5" t="s">
        <v>33</v>
      </c>
      <c r="L8" s="5" t="s">
        <v>46</v>
      </c>
      <c r="M8" s="5" t="s">
        <v>47</v>
      </c>
      <c r="N8" s="5" t="s">
        <v>48</v>
      </c>
      <c r="O8" s="5"/>
      <c r="P8" s="5"/>
      <c r="Q8" s="5"/>
      <c r="R8" s="5"/>
      <c r="S8" s="5"/>
      <c r="T8" s="5"/>
      <c r="U8" s="5">
        <v>5769</v>
      </c>
      <c r="V8" s="5">
        <v>2500</v>
      </c>
      <c r="W8" s="5">
        <v>0</v>
      </c>
      <c r="X8" s="5"/>
      <c r="Y8" s="6">
        <v>43166</v>
      </c>
      <c r="Z8" s="5" t="s">
        <v>40</v>
      </c>
      <c r="AA8" s="5" t="s">
        <v>49</v>
      </c>
      <c r="AB8" s="5">
        <v>0</v>
      </c>
    </row>
    <row r="9" spans="1:28" ht="41.95" x14ac:dyDescent="0.3">
      <c r="A9" s="3">
        <v>3</v>
      </c>
      <c r="B9" s="3" t="str">
        <f>"201700126774"</f>
        <v>201700126774</v>
      </c>
      <c r="C9" s="3" t="str">
        <f>"6753"</f>
        <v>6753</v>
      </c>
      <c r="D9" s="3" t="s">
        <v>50</v>
      </c>
      <c r="E9" s="3">
        <v>20425099907</v>
      </c>
      <c r="F9" s="3" t="s">
        <v>51</v>
      </c>
      <c r="G9" s="3" t="s">
        <v>52</v>
      </c>
      <c r="H9" s="3" t="s">
        <v>32</v>
      </c>
      <c r="I9" s="3" t="s">
        <v>32</v>
      </c>
      <c r="J9" s="3" t="s">
        <v>53</v>
      </c>
      <c r="K9" s="3" t="s">
        <v>33</v>
      </c>
      <c r="L9" s="3" t="s">
        <v>54</v>
      </c>
      <c r="M9" s="3" t="s">
        <v>55</v>
      </c>
      <c r="N9" s="3" t="s">
        <v>39</v>
      </c>
      <c r="O9" s="3" t="s">
        <v>56</v>
      </c>
      <c r="P9" s="3" t="s">
        <v>57</v>
      </c>
      <c r="Q9" s="3" t="s">
        <v>58</v>
      </c>
      <c r="R9" s="3" t="s">
        <v>59</v>
      </c>
      <c r="S9" s="3" t="s">
        <v>60</v>
      </c>
      <c r="T9" s="3"/>
      <c r="U9" s="3">
        <v>24000</v>
      </c>
      <c r="V9" s="3">
        <v>3000</v>
      </c>
      <c r="W9" s="3">
        <v>4000</v>
      </c>
      <c r="X9" s="3">
        <v>1200</v>
      </c>
      <c r="Y9" s="4">
        <v>42960</v>
      </c>
      <c r="Z9" s="3" t="s">
        <v>40</v>
      </c>
      <c r="AA9" s="3" t="s">
        <v>61</v>
      </c>
      <c r="AB9" s="3">
        <v>0</v>
      </c>
    </row>
    <row r="10" spans="1:28" ht="27.95" x14ac:dyDescent="0.3">
      <c r="A10" s="5">
        <v>4</v>
      </c>
      <c r="B10" s="5" t="str">
        <f>"201800183277"</f>
        <v>201800183277</v>
      </c>
      <c r="C10" s="5" t="str">
        <f>"18869"</f>
        <v>18869</v>
      </c>
      <c r="D10" s="5" t="s">
        <v>62</v>
      </c>
      <c r="E10" s="5">
        <v>20347869849</v>
      </c>
      <c r="F10" s="5" t="s">
        <v>63</v>
      </c>
      <c r="G10" s="5" t="s">
        <v>64</v>
      </c>
      <c r="H10" s="5" t="s">
        <v>32</v>
      </c>
      <c r="I10" s="5" t="s">
        <v>32</v>
      </c>
      <c r="J10" s="5" t="s">
        <v>65</v>
      </c>
      <c r="K10" s="5" t="s">
        <v>33</v>
      </c>
      <c r="L10" s="5" t="s">
        <v>66</v>
      </c>
      <c r="M10" s="5" t="s">
        <v>55</v>
      </c>
      <c r="N10" s="5" t="s">
        <v>67</v>
      </c>
      <c r="O10" s="5" t="s">
        <v>68</v>
      </c>
      <c r="P10" s="5" t="s">
        <v>69</v>
      </c>
      <c r="Q10" s="5"/>
      <c r="R10" s="5"/>
      <c r="S10" s="5"/>
      <c r="T10" s="5"/>
      <c r="U10" s="5">
        <v>24000</v>
      </c>
      <c r="V10" s="5">
        <v>4500</v>
      </c>
      <c r="W10" s="5">
        <v>2240</v>
      </c>
      <c r="X10" s="5">
        <v>1690</v>
      </c>
      <c r="Y10" s="6">
        <v>43411</v>
      </c>
      <c r="Z10" s="5" t="s">
        <v>40</v>
      </c>
      <c r="AA10" s="5" t="s">
        <v>70</v>
      </c>
      <c r="AB10" s="5">
        <v>0</v>
      </c>
    </row>
    <row r="11" spans="1:28" ht="41.95" x14ac:dyDescent="0.3">
      <c r="A11" s="3">
        <v>5</v>
      </c>
      <c r="B11" s="3" t="str">
        <f>"201600114905"</f>
        <v>201600114905</v>
      </c>
      <c r="C11" s="3" t="str">
        <f>"34770"</f>
        <v>34770</v>
      </c>
      <c r="D11" s="3" t="s">
        <v>71</v>
      </c>
      <c r="E11" s="3">
        <v>20503840121</v>
      </c>
      <c r="F11" s="3" t="s">
        <v>72</v>
      </c>
      <c r="G11" s="3" t="s">
        <v>73</v>
      </c>
      <c r="H11" s="3" t="s">
        <v>32</v>
      </c>
      <c r="I11" s="3" t="s">
        <v>32</v>
      </c>
      <c r="J11" s="3" t="s">
        <v>74</v>
      </c>
      <c r="K11" s="3" t="s">
        <v>33</v>
      </c>
      <c r="L11" s="3" t="s">
        <v>75</v>
      </c>
      <c r="M11" s="3" t="s">
        <v>76</v>
      </c>
      <c r="N11" s="3" t="s">
        <v>77</v>
      </c>
      <c r="O11" s="3" t="s">
        <v>36</v>
      </c>
      <c r="P11" s="3" t="s">
        <v>37</v>
      </c>
      <c r="Q11" s="3"/>
      <c r="R11" s="3"/>
      <c r="S11" s="3"/>
      <c r="T11" s="3"/>
      <c r="U11" s="3">
        <v>27000</v>
      </c>
      <c r="V11" s="3">
        <v>3200</v>
      </c>
      <c r="W11" s="3">
        <v>2500</v>
      </c>
      <c r="X11" s="3">
        <v>900</v>
      </c>
      <c r="Y11" s="4">
        <v>42605</v>
      </c>
      <c r="Z11" s="3" t="s">
        <v>40</v>
      </c>
      <c r="AA11" s="3" t="s">
        <v>78</v>
      </c>
      <c r="AB11" s="3">
        <v>0</v>
      </c>
    </row>
    <row r="12" spans="1:28" x14ac:dyDescent="0.3">
      <c r="A12" s="5">
        <v>6</v>
      </c>
      <c r="B12" s="5" t="str">
        <f>"201900041870"</f>
        <v>201900041870</v>
      </c>
      <c r="C12" s="5" t="str">
        <f>"64036"</f>
        <v>64036</v>
      </c>
      <c r="D12" s="5" t="s">
        <v>79</v>
      </c>
      <c r="E12" s="5">
        <v>20548279039</v>
      </c>
      <c r="F12" s="5" t="s">
        <v>80</v>
      </c>
      <c r="G12" s="5" t="s">
        <v>81</v>
      </c>
      <c r="H12" s="5" t="s">
        <v>32</v>
      </c>
      <c r="I12" s="5" t="s">
        <v>32</v>
      </c>
      <c r="J12" s="5" t="s">
        <v>74</v>
      </c>
      <c r="K12" s="5" t="s">
        <v>33</v>
      </c>
      <c r="L12" s="5" t="s">
        <v>54</v>
      </c>
      <c r="M12" s="5" t="s">
        <v>82</v>
      </c>
      <c r="N12" s="5" t="s">
        <v>83</v>
      </c>
      <c r="O12" s="5" t="s">
        <v>84</v>
      </c>
      <c r="P12" s="5" t="s">
        <v>85</v>
      </c>
      <c r="Q12" s="5"/>
      <c r="R12" s="5"/>
      <c r="S12" s="5"/>
      <c r="T12" s="5"/>
      <c r="U12" s="5">
        <v>8050</v>
      </c>
      <c r="V12" s="5">
        <v>3000</v>
      </c>
      <c r="W12" s="5">
        <v>0</v>
      </c>
      <c r="X12" s="5">
        <v>900</v>
      </c>
      <c r="Y12" s="6">
        <v>43539</v>
      </c>
      <c r="Z12" s="5" t="s">
        <v>40</v>
      </c>
      <c r="AA12" s="5" t="s">
        <v>86</v>
      </c>
      <c r="AB12" s="5">
        <v>0</v>
      </c>
    </row>
    <row r="13" spans="1:28" ht="55.9" x14ac:dyDescent="0.3">
      <c r="A13" s="3">
        <v>7</v>
      </c>
      <c r="B13" s="3" t="str">
        <f>"201800207579"</f>
        <v>201800207579</v>
      </c>
      <c r="C13" s="3" t="str">
        <f>"130775"</f>
        <v>130775</v>
      </c>
      <c r="D13" s="3" t="s">
        <v>87</v>
      </c>
      <c r="E13" s="3">
        <v>20600011007</v>
      </c>
      <c r="F13" s="3" t="s">
        <v>88</v>
      </c>
      <c r="G13" s="3" t="s">
        <v>89</v>
      </c>
      <c r="H13" s="3" t="s">
        <v>32</v>
      </c>
      <c r="I13" s="3" t="s">
        <v>32</v>
      </c>
      <c r="J13" s="3" t="s">
        <v>90</v>
      </c>
      <c r="K13" s="3" t="s">
        <v>33</v>
      </c>
      <c r="L13" s="3" t="s">
        <v>75</v>
      </c>
      <c r="M13" s="3" t="s">
        <v>91</v>
      </c>
      <c r="N13" s="3" t="s">
        <v>92</v>
      </c>
      <c r="O13" s="3" t="s">
        <v>93</v>
      </c>
      <c r="P13" s="3" t="s">
        <v>94</v>
      </c>
      <c r="Q13" s="3"/>
      <c r="R13" s="3"/>
      <c r="S13" s="3"/>
      <c r="T13" s="3"/>
      <c r="U13" s="3">
        <v>20000</v>
      </c>
      <c r="V13" s="3">
        <v>3200</v>
      </c>
      <c r="W13" s="3">
        <v>991</v>
      </c>
      <c r="X13" s="3">
        <v>1313</v>
      </c>
      <c r="Y13" s="4">
        <v>43454</v>
      </c>
      <c r="Z13" s="3" t="s">
        <v>40</v>
      </c>
      <c r="AA13" s="3" t="s">
        <v>95</v>
      </c>
      <c r="AB13" s="3">
        <v>0</v>
      </c>
    </row>
    <row r="14" spans="1:28" ht="55.9" x14ac:dyDescent="0.3">
      <c r="A14" s="5">
        <v>8</v>
      </c>
      <c r="B14" s="5" t="str">
        <f>"201800120928"</f>
        <v>201800120928</v>
      </c>
      <c r="C14" s="5" t="str">
        <f>"123985"</f>
        <v>123985</v>
      </c>
      <c r="D14" s="5" t="s">
        <v>96</v>
      </c>
      <c r="E14" s="5">
        <v>20511172633</v>
      </c>
      <c r="F14" s="5" t="s">
        <v>97</v>
      </c>
      <c r="G14" s="5" t="s">
        <v>98</v>
      </c>
      <c r="H14" s="5" t="s">
        <v>32</v>
      </c>
      <c r="I14" s="5" t="s">
        <v>32</v>
      </c>
      <c r="J14" s="5" t="s">
        <v>74</v>
      </c>
      <c r="K14" s="5" t="s">
        <v>33</v>
      </c>
      <c r="L14" s="5" t="s">
        <v>46</v>
      </c>
      <c r="M14" s="5" t="s">
        <v>99</v>
      </c>
      <c r="N14" s="5" t="s">
        <v>68</v>
      </c>
      <c r="O14" s="5" t="s">
        <v>100</v>
      </c>
      <c r="P14" s="5" t="s">
        <v>100</v>
      </c>
      <c r="Q14" s="5" t="s">
        <v>101</v>
      </c>
      <c r="R14" s="5"/>
      <c r="S14" s="5"/>
      <c r="T14" s="5"/>
      <c r="U14" s="5">
        <v>25900</v>
      </c>
      <c r="V14" s="5">
        <v>2500</v>
      </c>
      <c r="W14" s="5">
        <v>3000</v>
      </c>
      <c r="X14" s="5">
        <v>1500</v>
      </c>
      <c r="Y14" s="6">
        <v>43306</v>
      </c>
      <c r="Z14" s="5" t="s">
        <v>40</v>
      </c>
      <c r="AA14" s="5" t="s">
        <v>102</v>
      </c>
      <c r="AB14" s="5">
        <v>0</v>
      </c>
    </row>
    <row r="15" spans="1:28" ht="27.95" x14ac:dyDescent="0.3">
      <c r="A15" s="3">
        <v>9</v>
      </c>
      <c r="B15" s="3" t="str">
        <f>"201900035226"</f>
        <v>201900035226</v>
      </c>
      <c r="C15" s="3" t="str">
        <f>"6779"</f>
        <v>6779</v>
      </c>
      <c r="D15" s="3" t="s">
        <v>103</v>
      </c>
      <c r="E15" s="3">
        <v>20127765279</v>
      </c>
      <c r="F15" s="3" t="s">
        <v>104</v>
      </c>
      <c r="G15" s="3" t="s">
        <v>105</v>
      </c>
      <c r="H15" s="3" t="s">
        <v>32</v>
      </c>
      <c r="I15" s="3" t="s">
        <v>32</v>
      </c>
      <c r="J15" s="3" t="s">
        <v>106</v>
      </c>
      <c r="K15" s="3" t="s">
        <v>33</v>
      </c>
      <c r="L15" s="3" t="s">
        <v>107</v>
      </c>
      <c r="M15" s="3" t="s">
        <v>108</v>
      </c>
      <c r="N15" s="3" t="s">
        <v>35</v>
      </c>
      <c r="O15" s="3" t="s">
        <v>38</v>
      </c>
      <c r="P15" s="3" t="s">
        <v>36</v>
      </c>
      <c r="Q15" s="3"/>
      <c r="R15" s="3"/>
      <c r="S15" s="3"/>
      <c r="T15" s="3"/>
      <c r="U15" s="3">
        <v>40000</v>
      </c>
      <c r="V15" s="3">
        <v>3000</v>
      </c>
      <c r="W15" s="3">
        <v>1250</v>
      </c>
      <c r="X15" s="3"/>
      <c r="Y15" s="4">
        <v>43530</v>
      </c>
      <c r="Z15" s="3" t="s">
        <v>40</v>
      </c>
      <c r="AA15" s="3" t="s">
        <v>109</v>
      </c>
      <c r="AB15" s="3">
        <v>720</v>
      </c>
    </row>
    <row r="16" spans="1:28" x14ac:dyDescent="0.3">
      <c r="A16" s="5">
        <v>10</v>
      </c>
      <c r="B16" s="5" t="str">
        <f>"201900193231"</f>
        <v>201900193231</v>
      </c>
      <c r="C16" s="5" t="str">
        <f>"9652"</f>
        <v>9652</v>
      </c>
      <c r="D16" s="5" t="s">
        <v>110</v>
      </c>
      <c r="E16" s="5">
        <v>20100111838</v>
      </c>
      <c r="F16" s="5" t="s">
        <v>111</v>
      </c>
      <c r="G16" s="5" t="s">
        <v>112</v>
      </c>
      <c r="H16" s="5" t="s">
        <v>32</v>
      </c>
      <c r="I16" s="5" t="s">
        <v>32</v>
      </c>
      <c r="J16" s="5" t="s">
        <v>113</v>
      </c>
      <c r="K16" s="5" t="s">
        <v>33</v>
      </c>
      <c r="L16" s="5" t="s">
        <v>114</v>
      </c>
      <c r="M16" s="5" t="s">
        <v>115</v>
      </c>
      <c r="N16" s="5" t="s">
        <v>68</v>
      </c>
      <c r="O16" s="5" t="s">
        <v>116</v>
      </c>
      <c r="P16" s="5" t="s">
        <v>115</v>
      </c>
      <c r="Q16" s="5" t="s">
        <v>117</v>
      </c>
      <c r="R16" s="5" t="s">
        <v>37</v>
      </c>
      <c r="S16" s="5" t="s">
        <v>38</v>
      </c>
      <c r="T16" s="5"/>
      <c r="U16" s="5">
        <v>43000</v>
      </c>
      <c r="V16" s="5">
        <v>1500</v>
      </c>
      <c r="W16" s="5">
        <v>3350</v>
      </c>
      <c r="X16" s="5"/>
      <c r="Y16" s="6">
        <v>43795</v>
      </c>
      <c r="Z16" s="5" t="s">
        <v>40</v>
      </c>
      <c r="AA16" s="5" t="s">
        <v>118</v>
      </c>
      <c r="AB16" s="5">
        <v>0</v>
      </c>
    </row>
    <row r="17" spans="1:28" x14ac:dyDescent="0.3">
      <c r="A17" s="3">
        <v>11</v>
      </c>
      <c r="B17" s="3" t="str">
        <f>"201900035220"</f>
        <v>201900035220</v>
      </c>
      <c r="C17" s="3" t="str">
        <f>"6781"</f>
        <v>6781</v>
      </c>
      <c r="D17" s="3" t="s">
        <v>119</v>
      </c>
      <c r="E17" s="3">
        <v>20127765279</v>
      </c>
      <c r="F17" s="3" t="s">
        <v>120</v>
      </c>
      <c r="G17" s="3" t="s">
        <v>121</v>
      </c>
      <c r="H17" s="3" t="s">
        <v>32</v>
      </c>
      <c r="I17" s="3" t="s">
        <v>32</v>
      </c>
      <c r="J17" s="3" t="s">
        <v>122</v>
      </c>
      <c r="K17" s="3" t="s">
        <v>33</v>
      </c>
      <c r="L17" s="3" t="s">
        <v>123</v>
      </c>
      <c r="M17" s="3" t="s">
        <v>67</v>
      </c>
      <c r="N17" s="3" t="s">
        <v>67</v>
      </c>
      <c r="O17" s="3" t="s">
        <v>124</v>
      </c>
      <c r="P17" s="3" t="s">
        <v>68</v>
      </c>
      <c r="Q17" s="3" t="s">
        <v>55</v>
      </c>
      <c r="R17" s="3"/>
      <c r="S17" s="3"/>
      <c r="T17" s="3"/>
      <c r="U17" s="3">
        <v>30000</v>
      </c>
      <c r="V17" s="3">
        <v>3500</v>
      </c>
      <c r="W17" s="3">
        <v>2000</v>
      </c>
      <c r="X17" s="3">
        <v>1496</v>
      </c>
      <c r="Y17" s="4">
        <v>43530</v>
      </c>
      <c r="Z17" s="3" t="s">
        <v>40</v>
      </c>
      <c r="AA17" s="3" t="s">
        <v>109</v>
      </c>
      <c r="AB17" s="3">
        <v>240</v>
      </c>
    </row>
    <row r="18" spans="1:28" x14ac:dyDescent="0.3">
      <c r="A18" s="5">
        <v>12</v>
      </c>
      <c r="B18" s="5" t="str">
        <f>"201500016282"</f>
        <v>201500016282</v>
      </c>
      <c r="C18" s="5" t="str">
        <f>"6808"</f>
        <v>6808</v>
      </c>
      <c r="D18" s="5" t="s">
        <v>125</v>
      </c>
      <c r="E18" s="5">
        <v>20506467854</v>
      </c>
      <c r="F18" s="5" t="s">
        <v>126</v>
      </c>
      <c r="G18" s="5" t="s">
        <v>127</v>
      </c>
      <c r="H18" s="5" t="s">
        <v>32</v>
      </c>
      <c r="I18" s="5" t="s">
        <v>32</v>
      </c>
      <c r="J18" s="5" t="s">
        <v>128</v>
      </c>
      <c r="K18" s="5" t="s">
        <v>33</v>
      </c>
      <c r="L18" s="5" t="s">
        <v>129</v>
      </c>
      <c r="M18" s="5" t="s">
        <v>68</v>
      </c>
      <c r="N18" s="5" t="s">
        <v>130</v>
      </c>
      <c r="O18" s="5" t="s">
        <v>55</v>
      </c>
      <c r="P18" s="5" t="s">
        <v>55</v>
      </c>
      <c r="Q18" s="5" t="s">
        <v>68</v>
      </c>
      <c r="R18" s="5" t="s">
        <v>131</v>
      </c>
      <c r="S18" s="5"/>
      <c r="T18" s="5"/>
      <c r="U18" s="5">
        <v>36000</v>
      </c>
      <c r="V18" s="5">
        <v>3200</v>
      </c>
      <c r="W18" s="5">
        <v>2000</v>
      </c>
      <c r="X18" s="5"/>
      <c r="Y18" s="6">
        <v>42052</v>
      </c>
      <c r="Z18" s="5" t="s">
        <v>40</v>
      </c>
      <c r="AA18" s="5" t="s">
        <v>132</v>
      </c>
      <c r="AB18" s="5">
        <v>0</v>
      </c>
    </row>
    <row r="19" spans="1:28" ht="27.95" x14ac:dyDescent="0.3">
      <c r="A19" s="3">
        <v>13</v>
      </c>
      <c r="B19" s="3" t="str">
        <f>"201700008442"</f>
        <v>201700008442</v>
      </c>
      <c r="C19" s="3" t="str">
        <f>"82460"</f>
        <v>82460</v>
      </c>
      <c r="D19" s="3" t="s">
        <v>133</v>
      </c>
      <c r="E19" s="3">
        <v>20506151547</v>
      </c>
      <c r="F19" s="3" t="s">
        <v>134</v>
      </c>
      <c r="G19" s="3" t="s">
        <v>135</v>
      </c>
      <c r="H19" s="3" t="s">
        <v>32</v>
      </c>
      <c r="I19" s="3" t="s">
        <v>32</v>
      </c>
      <c r="J19" s="3" t="s">
        <v>32</v>
      </c>
      <c r="K19" s="3" t="s">
        <v>33</v>
      </c>
      <c r="L19" s="3" t="s">
        <v>46</v>
      </c>
      <c r="M19" s="3" t="s">
        <v>136</v>
      </c>
      <c r="N19" s="3" t="s">
        <v>137</v>
      </c>
      <c r="O19" s="3" t="s">
        <v>138</v>
      </c>
      <c r="P19" s="3"/>
      <c r="Q19" s="3"/>
      <c r="R19" s="3"/>
      <c r="S19" s="3"/>
      <c r="T19" s="3"/>
      <c r="U19" s="3">
        <v>10000</v>
      </c>
      <c r="V19" s="3">
        <v>2500</v>
      </c>
      <c r="W19" s="3">
        <v>1250</v>
      </c>
      <c r="X19" s="3">
        <v>900</v>
      </c>
      <c r="Y19" s="4">
        <v>42755</v>
      </c>
      <c r="Z19" s="3" t="s">
        <v>40</v>
      </c>
      <c r="AA19" s="3" t="s">
        <v>139</v>
      </c>
      <c r="AB19" s="3">
        <v>480</v>
      </c>
    </row>
    <row r="20" spans="1:28" ht="41.95" x14ac:dyDescent="0.3">
      <c r="A20" s="5">
        <v>14</v>
      </c>
      <c r="B20" s="5" t="str">
        <f>"201900075401"</f>
        <v>201900075401</v>
      </c>
      <c r="C20" s="5" t="str">
        <f>"16756"</f>
        <v>16756</v>
      </c>
      <c r="D20" s="5" t="s">
        <v>140</v>
      </c>
      <c r="E20" s="5">
        <v>20371826727</v>
      </c>
      <c r="F20" s="5" t="s">
        <v>141</v>
      </c>
      <c r="G20" s="5" t="s">
        <v>142</v>
      </c>
      <c r="H20" s="5" t="s">
        <v>32</v>
      </c>
      <c r="I20" s="5" t="s">
        <v>32</v>
      </c>
      <c r="J20" s="5" t="s">
        <v>143</v>
      </c>
      <c r="K20" s="5" t="s">
        <v>33</v>
      </c>
      <c r="L20" s="5" t="s">
        <v>46</v>
      </c>
      <c r="M20" s="5" t="s">
        <v>144</v>
      </c>
      <c r="N20" s="5" t="s">
        <v>144</v>
      </c>
      <c r="O20" s="5" t="s">
        <v>145</v>
      </c>
      <c r="P20" s="5" t="s">
        <v>146</v>
      </c>
      <c r="Q20" s="5" t="s">
        <v>147</v>
      </c>
      <c r="R20" s="5" t="s">
        <v>148</v>
      </c>
      <c r="S20" s="5"/>
      <c r="T20" s="5"/>
      <c r="U20" s="5">
        <v>30960</v>
      </c>
      <c r="V20" s="5">
        <v>2500</v>
      </c>
      <c r="W20" s="5">
        <v>3000</v>
      </c>
      <c r="X20" s="5">
        <v>2304</v>
      </c>
      <c r="Y20" s="6">
        <v>43600</v>
      </c>
      <c r="Z20" s="5" t="s">
        <v>40</v>
      </c>
      <c r="AA20" s="5" t="s">
        <v>102</v>
      </c>
      <c r="AB20" s="5">
        <v>0</v>
      </c>
    </row>
    <row r="21" spans="1:28" x14ac:dyDescent="0.3">
      <c r="A21" s="3">
        <v>15</v>
      </c>
      <c r="B21" s="3" t="str">
        <f>"201700147539"</f>
        <v>201700147539</v>
      </c>
      <c r="C21" s="3" t="str">
        <f>"89061"</f>
        <v>89061</v>
      </c>
      <c r="D21" s="3" t="s">
        <v>149</v>
      </c>
      <c r="E21" s="3">
        <v>20550392080</v>
      </c>
      <c r="F21" s="3" t="s">
        <v>150</v>
      </c>
      <c r="G21" s="3" t="s">
        <v>151</v>
      </c>
      <c r="H21" s="3" t="s">
        <v>32</v>
      </c>
      <c r="I21" s="3" t="s">
        <v>32</v>
      </c>
      <c r="J21" s="3" t="s">
        <v>152</v>
      </c>
      <c r="K21" s="3" t="s">
        <v>33</v>
      </c>
      <c r="L21" s="3" t="s">
        <v>75</v>
      </c>
      <c r="M21" s="3" t="s">
        <v>55</v>
      </c>
      <c r="N21" s="3" t="s">
        <v>58</v>
      </c>
      <c r="O21" s="3" t="s">
        <v>59</v>
      </c>
      <c r="P21" s="3"/>
      <c r="Q21" s="3"/>
      <c r="R21" s="3"/>
      <c r="S21" s="3"/>
      <c r="T21" s="3"/>
      <c r="U21" s="3">
        <v>12000</v>
      </c>
      <c r="V21" s="3">
        <v>3200</v>
      </c>
      <c r="W21" s="3">
        <v>1250</v>
      </c>
      <c r="X21" s="3">
        <v>1200</v>
      </c>
      <c r="Y21" s="4">
        <v>42991</v>
      </c>
      <c r="Z21" s="3" t="s">
        <v>40</v>
      </c>
      <c r="AA21" s="3" t="s">
        <v>153</v>
      </c>
      <c r="AB21" s="3">
        <v>0</v>
      </c>
    </row>
    <row r="22" spans="1:28" ht="27.95" x14ac:dyDescent="0.3">
      <c r="A22" s="5">
        <v>16</v>
      </c>
      <c r="B22" s="5" t="str">
        <f>"201800010523"</f>
        <v>201800010523</v>
      </c>
      <c r="C22" s="5" t="str">
        <f>"7558"</f>
        <v>7558</v>
      </c>
      <c r="D22" s="5" t="s">
        <v>154</v>
      </c>
      <c r="E22" s="5">
        <v>20179620945</v>
      </c>
      <c r="F22" s="5" t="s">
        <v>155</v>
      </c>
      <c r="G22" s="5" t="s">
        <v>156</v>
      </c>
      <c r="H22" s="5" t="s">
        <v>32</v>
      </c>
      <c r="I22" s="5" t="s">
        <v>32</v>
      </c>
      <c r="J22" s="5" t="s">
        <v>157</v>
      </c>
      <c r="K22" s="5" t="s">
        <v>33</v>
      </c>
      <c r="L22" s="5" t="s">
        <v>54</v>
      </c>
      <c r="M22" s="5" t="s">
        <v>93</v>
      </c>
      <c r="N22" s="5" t="s">
        <v>57</v>
      </c>
      <c r="O22" s="5" t="s">
        <v>158</v>
      </c>
      <c r="P22" s="5" t="s">
        <v>94</v>
      </c>
      <c r="Q22" s="5" t="s">
        <v>38</v>
      </c>
      <c r="R22" s="5" t="s">
        <v>38</v>
      </c>
      <c r="S22" s="5"/>
      <c r="T22" s="5"/>
      <c r="U22" s="5">
        <v>34000</v>
      </c>
      <c r="V22" s="5">
        <v>3000</v>
      </c>
      <c r="W22" s="5">
        <v>3120</v>
      </c>
      <c r="X22" s="5">
        <v>1600</v>
      </c>
      <c r="Y22" s="6">
        <v>43145</v>
      </c>
      <c r="Z22" s="5" t="s">
        <v>40</v>
      </c>
      <c r="AA22" s="5" t="s">
        <v>159</v>
      </c>
      <c r="AB22" s="5">
        <v>0</v>
      </c>
    </row>
    <row r="23" spans="1:28" x14ac:dyDescent="0.3">
      <c r="A23" s="3">
        <v>17</v>
      </c>
      <c r="B23" s="3" t="str">
        <f>"201900134760"</f>
        <v>201900134760</v>
      </c>
      <c r="C23" s="3" t="str">
        <f>"7417"</f>
        <v>7417</v>
      </c>
      <c r="D23" s="3" t="s">
        <v>160</v>
      </c>
      <c r="E23" s="3">
        <v>20605129154</v>
      </c>
      <c r="F23" s="3" t="s">
        <v>161</v>
      </c>
      <c r="G23" s="3" t="s">
        <v>162</v>
      </c>
      <c r="H23" s="3" t="s">
        <v>32</v>
      </c>
      <c r="I23" s="3" t="s">
        <v>32</v>
      </c>
      <c r="J23" s="3" t="s">
        <v>65</v>
      </c>
      <c r="K23" s="3" t="s">
        <v>33</v>
      </c>
      <c r="L23" s="3" t="s">
        <v>75</v>
      </c>
      <c r="M23" s="3" t="s">
        <v>163</v>
      </c>
      <c r="N23" s="3" t="s">
        <v>55</v>
      </c>
      <c r="O23" s="3" t="s">
        <v>68</v>
      </c>
      <c r="P23" s="3" t="s">
        <v>67</v>
      </c>
      <c r="Q23" s="3"/>
      <c r="R23" s="3"/>
      <c r="S23" s="3"/>
      <c r="T23" s="3"/>
      <c r="U23" s="3">
        <v>22000</v>
      </c>
      <c r="V23" s="3">
        <v>3200</v>
      </c>
      <c r="W23" s="3">
        <v>2000</v>
      </c>
      <c r="X23" s="3"/>
      <c r="Y23" s="4">
        <v>43703</v>
      </c>
      <c r="Z23" s="3" t="s">
        <v>40</v>
      </c>
      <c r="AA23" s="3" t="s">
        <v>164</v>
      </c>
      <c r="AB23" s="3">
        <v>0</v>
      </c>
    </row>
    <row r="24" spans="1:28" ht="27.95" x14ac:dyDescent="0.3">
      <c r="A24" s="5">
        <v>18</v>
      </c>
      <c r="B24" s="5" t="str">
        <f>"201500078716"</f>
        <v>201500078716</v>
      </c>
      <c r="C24" s="5" t="str">
        <f>"14758"</f>
        <v>14758</v>
      </c>
      <c r="D24" s="5" t="s">
        <v>165</v>
      </c>
      <c r="E24" s="5">
        <v>20292832223</v>
      </c>
      <c r="F24" s="5" t="s">
        <v>166</v>
      </c>
      <c r="G24" s="5" t="s">
        <v>167</v>
      </c>
      <c r="H24" s="5" t="s">
        <v>32</v>
      </c>
      <c r="I24" s="5" t="s">
        <v>32</v>
      </c>
      <c r="J24" s="5" t="s">
        <v>113</v>
      </c>
      <c r="K24" s="5" t="s">
        <v>33</v>
      </c>
      <c r="L24" s="5" t="s">
        <v>54</v>
      </c>
      <c r="M24" s="5" t="s">
        <v>68</v>
      </c>
      <c r="N24" s="5" t="s">
        <v>55</v>
      </c>
      <c r="O24" s="5" t="s">
        <v>55</v>
      </c>
      <c r="P24" s="5" t="s">
        <v>168</v>
      </c>
      <c r="Q24" s="5" t="s">
        <v>76</v>
      </c>
      <c r="R24" s="5"/>
      <c r="S24" s="5"/>
      <c r="T24" s="5"/>
      <c r="U24" s="5">
        <v>27000</v>
      </c>
      <c r="V24" s="5">
        <v>3000</v>
      </c>
      <c r="W24" s="5">
        <v>3050</v>
      </c>
      <c r="X24" s="5">
        <v>2173</v>
      </c>
      <c r="Y24" s="6">
        <v>42185</v>
      </c>
      <c r="Z24" s="5" t="s">
        <v>40</v>
      </c>
      <c r="AA24" s="5" t="s">
        <v>169</v>
      </c>
      <c r="AB24" s="5">
        <v>0</v>
      </c>
    </row>
    <row r="25" spans="1:28" ht="27.95" x14ac:dyDescent="0.3">
      <c r="A25" s="3">
        <v>19</v>
      </c>
      <c r="B25" s="3" t="str">
        <f>"201800157357"</f>
        <v>201800157357</v>
      </c>
      <c r="C25" s="3" t="str">
        <f>"8082"</f>
        <v>8082</v>
      </c>
      <c r="D25" s="3" t="s">
        <v>170</v>
      </c>
      <c r="E25" s="3">
        <v>20220015743</v>
      </c>
      <c r="F25" s="3" t="s">
        <v>171</v>
      </c>
      <c r="G25" s="3" t="s">
        <v>172</v>
      </c>
      <c r="H25" s="3" t="s">
        <v>32</v>
      </c>
      <c r="I25" s="3" t="s">
        <v>32</v>
      </c>
      <c r="J25" s="3" t="s">
        <v>128</v>
      </c>
      <c r="K25" s="3" t="s">
        <v>33</v>
      </c>
      <c r="L25" s="3" t="s">
        <v>57</v>
      </c>
      <c r="M25" s="3" t="s">
        <v>36</v>
      </c>
      <c r="N25" s="3" t="s">
        <v>38</v>
      </c>
      <c r="O25" s="3" t="s">
        <v>68</v>
      </c>
      <c r="P25" s="3" t="s">
        <v>163</v>
      </c>
      <c r="Q25" s="3" t="s">
        <v>173</v>
      </c>
      <c r="R25" s="3" t="s">
        <v>174</v>
      </c>
      <c r="S25" s="3"/>
      <c r="T25" s="3"/>
      <c r="U25" s="3">
        <v>31000</v>
      </c>
      <c r="V25" s="3">
        <v>4500</v>
      </c>
      <c r="W25" s="3">
        <v>1000</v>
      </c>
      <c r="X25" s="3"/>
      <c r="Y25" s="4">
        <v>43369</v>
      </c>
      <c r="Z25" s="3" t="s">
        <v>40</v>
      </c>
      <c r="AA25" s="3" t="s">
        <v>175</v>
      </c>
      <c r="AB25" s="3">
        <v>480</v>
      </c>
    </row>
    <row r="26" spans="1:28" ht="27.95" x14ac:dyDescent="0.3">
      <c r="A26" s="5">
        <v>20</v>
      </c>
      <c r="B26" s="5" t="str">
        <f>"201800027976"</f>
        <v>201800027976</v>
      </c>
      <c r="C26" s="5" t="str">
        <f>"119112"</f>
        <v>119112</v>
      </c>
      <c r="D26" s="5" t="s">
        <v>176</v>
      </c>
      <c r="E26" s="5">
        <v>20514326496</v>
      </c>
      <c r="F26" s="5" t="s">
        <v>177</v>
      </c>
      <c r="G26" s="5" t="s">
        <v>178</v>
      </c>
      <c r="H26" s="5" t="s">
        <v>45</v>
      </c>
      <c r="I26" s="5" t="s">
        <v>45</v>
      </c>
      <c r="J26" s="5" t="s">
        <v>45</v>
      </c>
      <c r="K26" s="5" t="s">
        <v>33</v>
      </c>
      <c r="L26" s="5" t="s">
        <v>54</v>
      </c>
      <c r="M26" s="5" t="s">
        <v>179</v>
      </c>
      <c r="N26" s="5" t="s">
        <v>180</v>
      </c>
      <c r="O26" s="5"/>
      <c r="P26" s="5"/>
      <c r="Q26" s="5"/>
      <c r="R26" s="5"/>
      <c r="S26" s="5"/>
      <c r="T26" s="5"/>
      <c r="U26" s="5">
        <v>16000</v>
      </c>
      <c r="V26" s="5">
        <v>3000</v>
      </c>
      <c r="W26" s="5">
        <v>1250</v>
      </c>
      <c r="X26" s="5">
        <v>1043</v>
      </c>
      <c r="Y26" s="6">
        <v>43150</v>
      </c>
      <c r="Z26" s="5" t="s">
        <v>40</v>
      </c>
      <c r="AA26" s="5" t="s">
        <v>181</v>
      </c>
      <c r="AB26" s="5">
        <v>0</v>
      </c>
    </row>
    <row r="27" spans="1:28" ht="27.95" x14ac:dyDescent="0.3">
      <c r="A27" s="3">
        <v>21</v>
      </c>
      <c r="B27" s="3" t="str">
        <f>"201800152623"</f>
        <v>201800152623</v>
      </c>
      <c r="C27" s="3" t="str">
        <f>"106767"</f>
        <v>106767</v>
      </c>
      <c r="D27" s="3" t="s">
        <v>182</v>
      </c>
      <c r="E27" s="3">
        <v>20514636843</v>
      </c>
      <c r="F27" s="3" t="s">
        <v>183</v>
      </c>
      <c r="G27" s="3" t="s">
        <v>184</v>
      </c>
      <c r="H27" s="3" t="s">
        <v>32</v>
      </c>
      <c r="I27" s="3" t="s">
        <v>32</v>
      </c>
      <c r="J27" s="3" t="s">
        <v>90</v>
      </c>
      <c r="K27" s="3" t="s">
        <v>33</v>
      </c>
      <c r="L27" s="3" t="s">
        <v>185</v>
      </c>
      <c r="M27" s="3"/>
      <c r="N27" s="3"/>
      <c r="O27" s="3"/>
      <c r="P27" s="3"/>
      <c r="Q27" s="3"/>
      <c r="R27" s="3"/>
      <c r="S27" s="3"/>
      <c r="T27" s="3"/>
      <c r="U27" s="3">
        <v>18000</v>
      </c>
      <c r="V27" s="3">
        <v>5000</v>
      </c>
      <c r="W27" s="3">
        <v>502</v>
      </c>
      <c r="X27" s="3">
        <v>1300</v>
      </c>
      <c r="Y27" s="4">
        <v>43367</v>
      </c>
      <c r="Z27" s="3" t="s">
        <v>40</v>
      </c>
      <c r="AA27" s="3" t="s">
        <v>186</v>
      </c>
      <c r="AB27" s="3">
        <v>240</v>
      </c>
    </row>
    <row r="28" spans="1:28" ht="27.95" x14ac:dyDescent="0.3">
      <c r="A28" s="5">
        <v>22</v>
      </c>
      <c r="B28" s="5" t="str">
        <f>"201800086548"</f>
        <v>201800086548</v>
      </c>
      <c r="C28" s="5" t="str">
        <f>"135517"</f>
        <v>135517</v>
      </c>
      <c r="D28" s="5" t="s">
        <v>187</v>
      </c>
      <c r="E28" s="5">
        <v>20410312396</v>
      </c>
      <c r="F28" s="5" t="s">
        <v>188</v>
      </c>
      <c r="G28" s="5" t="s">
        <v>189</v>
      </c>
      <c r="H28" s="5" t="s">
        <v>45</v>
      </c>
      <c r="I28" s="5" t="s">
        <v>45</v>
      </c>
      <c r="J28" s="5" t="s">
        <v>190</v>
      </c>
      <c r="K28" s="5" t="s">
        <v>33</v>
      </c>
      <c r="L28" s="5" t="s">
        <v>191</v>
      </c>
      <c r="M28" s="5" t="s">
        <v>192</v>
      </c>
      <c r="N28" s="5" t="s">
        <v>193</v>
      </c>
      <c r="O28" s="5"/>
      <c r="P28" s="5"/>
      <c r="Q28" s="5"/>
      <c r="R28" s="5"/>
      <c r="S28" s="5"/>
      <c r="T28" s="5"/>
      <c r="U28" s="5">
        <v>17400</v>
      </c>
      <c r="V28" s="5">
        <v>7800</v>
      </c>
      <c r="W28" s="5">
        <v>1200</v>
      </c>
      <c r="X28" s="5">
        <v>963</v>
      </c>
      <c r="Y28" s="6">
        <v>43250</v>
      </c>
      <c r="Z28" s="5" t="s">
        <v>40</v>
      </c>
      <c r="AA28" s="5" t="s">
        <v>194</v>
      </c>
      <c r="AB28" s="5">
        <v>0</v>
      </c>
    </row>
    <row r="29" spans="1:28" ht="27.95" x14ac:dyDescent="0.3">
      <c r="A29" s="3">
        <v>23</v>
      </c>
      <c r="B29" s="3" t="str">
        <f>"201900014124"</f>
        <v>201900014124</v>
      </c>
      <c r="C29" s="3" t="str">
        <f>"64257"</f>
        <v>64257</v>
      </c>
      <c r="D29" s="3" t="s">
        <v>195</v>
      </c>
      <c r="E29" s="3">
        <v>20127765279</v>
      </c>
      <c r="F29" s="3" t="s">
        <v>104</v>
      </c>
      <c r="G29" s="3" t="s">
        <v>196</v>
      </c>
      <c r="H29" s="3" t="s">
        <v>197</v>
      </c>
      <c r="I29" s="3" t="s">
        <v>197</v>
      </c>
      <c r="J29" s="3" t="s">
        <v>198</v>
      </c>
      <c r="K29" s="3" t="s">
        <v>33</v>
      </c>
      <c r="L29" s="3" t="s">
        <v>54</v>
      </c>
      <c r="M29" s="3" t="s">
        <v>36</v>
      </c>
      <c r="N29" s="3" t="s">
        <v>38</v>
      </c>
      <c r="O29" s="3" t="s">
        <v>199</v>
      </c>
      <c r="P29" s="3"/>
      <c r="Q29" s="3"/>
      <c r="R29" s="3"/>
      <c r="S29" s="3"/>
      <c r="T29" s="3"/>
      <c r="U29" s="3">
        <v>24000</v>
      </c>
      <c r="V29" s="3">
        <v>3000</v>
      </c>
      <c r="W29" s="3">
        <v>1250</v>
      </c>
      <c r="X29" s="3">
        <v>1415</v>
      </c>
      <c r="Y29" s="4">
        <v>43495</v>
      </c>
      <c r="Z29" s="3" t="s">
        <v>40</v>
      </c>
      <c r="AA29" s="3" t="s">
        <v>109</v>
      </c>
      <c r="AB29" s="3">
        <v>480</v>
      </c>
    </row>
    <row r="30" spans="1:28" ht="27.95" x14ac:dyDescent="0.3">
      <c r="A30" s="5">
        <v>24</v>
      </c>
      <c r="B30" s="5" t="str">
        <f>"201800006498"</f>
        <v>201800006498</v>
      </c>
      <c r="C30" s="5" t="str">
        <f>"21032"</f>
        <v>21032</v>
      </c>
      <c r="D30" s="5" t="s">
        <v>200</v>
      </c>
      <c r="E30" s="5">
        <v>20127765279</v>
      </c>
      <c r="F30" s="5" t="s">
        <v>104</v>
      </c>
      <c r="G30" s="5" t="s">
        <v>201</v>
      </c>
      <c r="H30" s="5" t="s">
        <v>32</v>
      </c>
      <c r="I30" s="5" t="s">
        <v>32</v>
      </c>
      <c r="J30" s="5" t="s">
        <v>202</v>
      </c>
      <c r="K30" s="5" t="s">
        <v>33</v>
      </c>
      <c r="L30" s="5" t="s">
        <v>38</v>
      </c>
      <c r="M30" s="5" t="s">
        <v>38</v>
      </c>
      <c r="N30" s="5" t="s">
        <v>199</v>
      </c>
      <c r="O30" s="5" t="s">
        <v>68</v>
      </c>
      <c r="P30" s="5" t="s">
        <v>68</v>
      </c>
      <c r="Q30" s="5" t="s">
        <v>92</v>
      </c>
      <c r="R30" s="5" t="s">
        <v>60</v>
      </c>
      <c r="S30" s="5"/>
      <c r="T30" s="5"/>
      <c r="U30" s="5">
        <v>41000</v>
      </c>
      <c r="V30" s="5">
        <v>3000</v>
      </c>
      <c r="W30" s="5">
        <v>1250</v>
      </c>
      <c r="X30" s="5"/>
      <c r="Y30" s="6">
        <v>43116</v>
      </c>
      <c r="Z30" s="5" t="s">
        <v>40</v>
      </c>
      <c r="AA30" s="5" t="s">
        <v>203</v>
      </c>
      <c r="AB30" s="5">
        <v>0</v>
      </c>
    </row>
    <row r="31" spans="1:28" ht="41.95" x14ac:dyDescent="0.3">
      <c r="A31" s="3">
        <v>25</v>
      </c>
      <c r="B31" s="3" t="str">
        <f>"201900193248"</f>
        <v>201900193248</v>
      </c>
      <c r="C31" s="3" t="str">
        <f>"8215"</f>
        <v>8215</v>
      </c>
      <c r="D31" s="3" t="s">
        <v>204</v>
      </c>
      <c r="E31" s="3">
        <v>20100111838</v>
      </c>
      <c r="F31" s="3" t="s">
        <v>111</v>
      </c>
      <c r="G31" s="3" t="s">
        <v>205</v>
      </c>
      <c r="H31" s="3" t="s">
        <v>206</v>
      </c>
      <c r="I31" s="3" t="s">
        <v>207</v>
      </c>
      <c r="J31" s="3" t="s">
        <v>208</v>
      </c>
      <c r="K31" s="3" t="s">
        <v>33</v>
      </c>
      <c r="L31" s="3" t="s">
        <v>55</v>
      </c>
      <c r="M31" s="3" t="s">
        <v>55</v>
      </c>
      <c r="N31" s="3" t="s">
        <v>68</v>
      </c>
      <c r="O31" s="3" t="s">
        <v>124</v>
      </c>
      <c r="P31" s="3" t="s">
        <v>67</v>
      </c>
      <c r="Q31" s="3" t="s">
        <v>55</v>
      </c>
      <c r="R31" s="3"/>
      <c r="S31" s="3"/>
      <c r="T31" s="3"/>
      <c r="U31" s="3">
        <v>36000</v>
      </c>
      <c r="V31" s="3">
        <v>4000</v>
      </c>
      <c r="W31" s="3">
        <v>1120</v>
      </c>
      <c r="X31" s="3"/>
      <c r="Y31" s="4">
        <v>43798</v>
      </c>
      <c r="Z31" s="3" t="s">
        <v>40</v>
      </c>
      <c r="AA31" s="3" t="s">
        <v>118</v>
      </c>
      <c r="AB31" s="3">
        <v>0</v>
      </c>
    </row>
    <row r="32" spans="1:28" ht="27.95" x14ac:dyDescent="0.3">
      <c r="A32" s="5">
        <v>26</v>
      </c>
      <c r="B32" s="5" t="str">
        <f>"201900126405"</f>
        <v>201900126405</v>
      </c>
      <c r="C32" s="5" t="str">
        <f>"7770"</f>
        <v>7770</v>
      </c>
      <c r="D32" s="5" t="s">
        <v>209</v>
      </c>
      <c r="E32" s="5">
        <v>20511995028</v>
      </c>
      <c r="F32" s="5" t="s">
        <v>30</v>
      </c>
      <c r="G32" s="5" t="s">
        <v>210</v>
      </c>
      <c r="H32" s="5" t="s">
        <v>197</v>
      </c>
      <c r="I32" s="5" t="s">
        <v>197</v>
      </c>
      <c r="J32" s="5" t="s">
        <v>211</v>
      </c>
      <c r="K32" s="5" t="s">
        <v>33</v>
      </c>
      <c r="L32" s="5" t="s">
        <v>54</v>
      </c>
      <c r="M32" s="5" t="s">
        <v>38</v>
      </c>
      <c r="N32" s="5"/>
      <c r="O32" s="5"/>
      <c r="P32" s="5"/>
      <c r="Q32" s="5"/>
      <c r="R32" s="5"/>
      <c r="S32" s="5"/>
      <c r="T32" s="5"/>
      <c r="U32" s="5">
        <v>32000</v>
      </c>
      <c r="V32" s="5">
        <v>3000</v>
      </c>
      <c r="W32" s="5">
        <v>4000</v>
      </c>
      <c r="X32" s="5"/>
      <c r="Y32" s="6">
        <v>43685</v>
      </c>
      <c r="Z32" s="5" t="s">
        <v>40</v>
      </c>
      <c r="AA32" s="5" t="s">
        <v>41</v>
      </c>
      <c r="AB32" s="5">
        <v>240</v>
      </c>
    </row>
    <row r="33" spans="1:28" ht="27.95" x14ac:dyDescent="0.3">
      <c r="A33" s="3">
        <v>27</v>
      </c>
      <c r="B33" s="3" t="str">
        <f>"201700102342"</f>
        <v>201700102342</v>
      </c>
      <c r="C33" s="3" t="str">
        <f>"117590"</f>
        <v>117590</v>
      </c>
      <c r="D33" s="3" t="s">
        <v>212</v>
      </c>
      <c r="E33" s="3">
        <v>20506151547</v>
      </c>
      <c r="F33" s="3" t="s">
        <v>213</v>
      </c>
      <c r="G33" s="3" t="s">
        <v>214</v>
      </c>
      <c r="H33" s="3" t="s">
        <v>32</v>
      </c>
      <c r="I33" s="3" t="s">
        <v>32</v>
      </c>
      <c r="J33" s="3" t="s">
        <v>215</v>
      </c>
      <c r="K33" s="3" t="s">
        <v>33</v>
      </c>
      <c r="L33" s="3" t="s">
        <v>123</v>
      </c>
      <c r="M33" s="3" t="s">
        <v>55</v>
      </c>
      <c r="N33" s="3" t="s">
        <v>56</v>
      </c>
      <c r="O33" s="3" t="s">
        <v>216</v>
      </c>
      <c r="P33" s="3" t="s">
        <v>217</v>
      </c>
      <c r="Q33" s="3"/>
      <c r="R33" s="3"/>
      <c r="S33" s="3"/>
      <c r="T33" s="3"/>
      <c r="U33" s="3">
        <v>16000</v>
      </c>
      <c r="V33" s="3">
        <v>3500</v>
      </c>
      <c r="W33" s="3">
        <v>1999.2</v>
      </c>
      <c r="X33" s="3"/>
      <c r="Y33" s="4">
        <v>42917</v>
      </c>
      <c r="Z33" s="3" t="s">
        <v>40</v>
      </c>
      <c r="AA33" s="3" t="s">
        <v>139</v>
      </c>
      <c r="AB33" s="3">
        <v>240</v>
      </c>
    </row>
    <row r="34" spans="1:28" x14ac:dyDescent="0.3">
      <c r="A34" s="5">
        <v>28</v>
      </c>
      <c r="B34" s="5" t="str">
        <f>"201900193242"</f>
        <v>201900193242</v>
      </c>
      <c r="C34" s="5" t="str">
        <f>"6903"</f>
        <v>6903</v>
      </c>
      <c r="D34" s="5" t="s">
        <v>218</v>
      </c>
      <c r="E34" s="5">
        <v>20100111838</v>
      </c>
      <c r="F34" s="5" t="s">
        <v>111</v>
      </c>
      <c r="G34" s="5" t="s">
        <v>219</v>
      </c>
      <c r="H34" s="5" t="s">
        <v>32</v>
      </c>
      <c r="I34" s="5" t="s">
        <v>32</v>
      </c>
      <c r="J34" s="5" t="s">
        <v>220</v>
      </c>
      <c r="K34" s="5" t="s">
        <v>33</v>
      </c>
      <c r="L34" s="5" t="s">
        <v>221</v>
      </c>
      <c r="M34" s="5" t="s">
        <v>36</v>
      </c>
      <c r="N34" s="5" t="s">
        <v>57</v>
      </c>
      <c r="O34" s="5" t="s">
        <v>57</v>
      </c>
      <c r="P34" s="5" t="s">
        <v>38</v>
      </c>
      <c r="Q34" s="5" t="s">
        <v>221</v>
      </c>
      <c r="R34" s="5" t="s">
        <v>131</v>
      </c>
      <c r="S34" s="5"/>
      <c r="T34" s="5"/>
      <c r="U34" s="5">
        <v>40000</v>
      </c>
      <c r="V34" s="5">
        <v>3200</v>
      </c>
      <c r="W34" s="5">
        <v>4000</v>
      </c>
      <c r="X34" s="5"/>
      <c r="Y34" s="6">
        <v>43796</v>
      </c>
      <c r="Z34" s="5" t="s">
        <v>40</v>
      </c>
      <c r="AA34" s="5" t="s">
        <v>118</v>
      </c>
      <c r="AB34" s="5">
        <v>0</v>
      </c>
    </row>
    <row r="35" spans="1:28" x14ac:dyDescent="0.3">
      <c r="A35" s="3">
        <v>29</v>
      </c>
      <c r="B35" s="3" t="str">
        <f>"201700058406"</f>
        <v>201700058406</v>
      </c>
      <c r="C35" s="3" t="str">
        <f>"61745"</f>
        <v>61745</v>
      </c>
      <c r="D35" s="3" t="s">
        <v>222</v>
      </c>
      <c r="E35" s="3">
        <v>20160883155</v>
      </c>
      <c r="F35" s="3" t="s">
        <v>223</v>
      </c>
      <c r="G35" s="3" t="s">
        <v>224</v>
      </c>
      <c r="H35" s="3" t="s">
        <v>32</v>
      </c>
      <c r="I35" s="3" t="s">
        <v>225</v>
      </c>
      <c r="J35" s="3" t="s">
        <v>226</v>
      </c>
      <c r="K35" s="3" t="s">
        <v>33</v>
      </c>
      <c r="L35" s="3" t="s">
        <v>227</v>
      </c>
      <c r="M35" s="3" t="s">
        <v>228</v>
      </c>
      <c r="N35" s="3" t="s">
        <v>229</v>
      </c>
      <c r="O35" s="3" t="s">
        <v>230</v>
      </c>
      <c r="P35" s="3" t="s">
        <v>231</v>
      </c>
      <c r="Q35" s="3" t="s">
        <v>232</v>
      </c>
      <c r="R35" s="3" t="s">
        <v>233</v>
      </c>
      <c r="S35" s="3"/>
      <c r="T35" s="3"/>
      <c r="U35" s="3">
        <v>21010</v>
      </c>
      <c r="V35" s="3">
        <v>5200</v>
      </c>
      <c r="W35" s="3">
        <v>0</v>
      </c>
      <c r="X35" s="3"/>
      <c r="Y35" s="4">
        <v>42864</v>
      </c>
      <c r="Z35" s="3" t="s">
        <v>40</v>
      </c>
      <c r="AA35" s="3" t="s">
        <v>234</v>
      </c>
      <c r="AB35" s="3">
        <v>480</v>
      </c>
    </row>
    <row r="36" spans="1:28" ht="27.95" x14ac:dyDescent="0.3">
      <c r="A36" s="5">
        <v>30</v>
      </c>
      <c r="B36" s="5" t="str">
        <f>"201900193240"</f>
        <v>201900193240</v>
      </c>
      <c r="C36" s="5" t="str">
        <f>"38662"</f>
        <v>38662</v>
      </c>
      <c r="D36" s="5" t="s">
        <v>235</v>
      </c>
      <c r="E36" s="5">
        <v>20100111838</v>
      </c>
      <c r="F36" s="5" t="s">
        <v>111</v>
      </c>
      <c r="G36" s="5" t="s">
        <v>236</v>
      </c>
      <c r="H36" s="5" t="s">
        <v>32</v>
      </c>
      <c r="I36" s="5" t="s">
        <v>32</v>
      </c>
      <c r="J36" s="5" t="s">
        <v>237</v>
      </c>
      <c r="K36" s="5" t="s">
        <v>33</v>
      </c>
      <c r="L36" s="5" t="s">
        <v>114</v>
      </c>
      <c r="M36" s="5" t="s">
        <v>36</v>
      </c>
      <c r="N36" s="5" t="s">
        <v>36</v>
      </c>
      <c r="O36" s="5" t="s">
        <v>238</v>
      </c>
      <c r="P36" s="5" t="s">
        <v>37</v>
      </c>
      <c r="Q36" s="5" t="s">
        <v>37</v>
      </c>
      <c r="R36" s="5" t="s">
        <v>38</v>
      </c>
      <c r="S36" s="5" t="s">
        <v>38</v>
      </c>
      <c r="T36" s="5" t="s">
        <v>38</v>
      </c>
      <c r="U36" s="5">
        <v>64000</v>
      </c>
      <c r="V36" s="5">
        <v>1500</v>
      </c>
      <c r="W36" s="5">
        <v>0</v>
      </c>
      <c r="X36" s="5"/>
      <c r="Y36" s="6">
        <v>43791</v>
      </c>
      <c r="Z36" s="5" t="s">
        <v>40</v>
      </c>
      <c r="AA36" s="5" t="s">
        <v>118</v>
      </c>
      <c r="AB36" s="5">
        <v>0</v>
      </c>
    </row>
    <row r="37" spans="1:28" ht="27.95" x14ac:dyDescent="0.3">
      <c r="A37" s="3">
        <v>31</v>
      </c>
      <c r="B37" s="3" t="str">
        <f>"201900213396"</f>
        <v>201900213396</v>
      </c>
      <c r="C37" s="3" t="str">
        <f>"9520"</f>
        <v>9520</v>
      </c>
      <c r="D37" s="3" t="s">
        <v>239</v>
      </c>
      <c r="E37" s="3">
        <v>20556119636</v>
      </c>
      <c r="F37" s="3" t="s">
        <v>240</v>
      </c>
      <c r="G37" s="3" t="s">
        <v>241</v>
      </c>
      <c r="H37" s="3" t="s">
        <v>32</v>
      </c>
      <c r="I37" s="3" t="s">
        <v>32</v>
      </c>
      <c r="J37" s="3" t="s">
        <v>32</v>
      </c>
      <c r="K37" s="3" t="s">
        <v>33</v>
      </c>
      <c r="L37" s="3" t="s">
        <v>75</v>
      </c>
      <c r="M37" s="3" t="s">
        <v>242</v>
      </c>
      <c r="N37" s="3" t="s">
        <v>37</v>
      </c>
      <c r="O37" s="3" t="s">
        <v>38</v>
      </c>
      <c r="P37" s="3"/>
      <c r="Q37" s="3"/>
      <c r="R37" s="3"/>
      <c r="S37" s="3"/>
      <c r="T37" s="3"/>
      <c r="U37" s="3">
        <v>24000</v>
      </c>
      <c r="V37" s="3">
        <v>3200</v>
      </c>
      <c r="W37" s="3">
        <v>1250</v>
      </c>
      <c r="X37" s="3"/>
      <c r="Y37" s="4">
        <v>43843</v>
      </c>
      <c r="Z37" s="3" t="s">
        <v>40</v>
      </c>
      <c r="AA37" s="3" t="s">
        <v>243</v>
      </c>
      <c r="AB37" s="3">
        <v>0</v>
      </c>
    </row>
    <row r="38" spans="1:28" ht="27.95" x14ac:dyDescent="0.3">
      <c r="A38" s="5">
        <v>32</v>
      </c>
      <c r="B38" s="5" t="str">
        <f>"201800133509"</f>
        <v>201800133509</v>
      </c>
      <c r="C38" s="5" t="str">
        <f>"31927"</f>
        <v>31927</v>
      </c>
      <c r="D38" s="5" t="s">
        <v>244</v>
      </c>
      <c r="E38" s="5">
        <v>20503840121</v>
      </c>
      <c r="F38" s="5" t="s">
        <v>72</v>
      </c>
      <c r="G38" s="5" t="s">
        <v>245</v>
      </c>
      <c r="H38" s="5" t="s">
        <v>32</v>
      </c>
      <c r="I38" s="5" t="s">
        <v>32</v>
      </c>
      <c r="J38" s="5" t="s">
        <v>65</v>
      </c>
      <c r="K38" s="5" t="s">
        <v>33</v>
      </c>
      <c r="L38" s="5" t="s">
        <v>75</v>
      </c>
      <c r="M38" s="5" t="s">
        <v>91</v>
      </c>
      <c r="N38" s="5" t="s">
        <v>92</v>
      </c>
      <c r="O38" s="5" t="s">
        <v>93</v>
      </c>
      <c r="P38" s="5" t="s">
        <v>93</v>
      </c>
      <c r="Q38" s="5" t="s">
        <v>246</v>
      </c>
      <c r="R38" s="5"/>
      <c r="S38" s="5"/>
      <c r="T38" s="5"/>
      <c r="U38" s="5">
        <v>25000</v>
      </c>
      <c r="V38" s="5">
        <v>3200</v>
      </c>
      <c r="W38" s="5">
        <v>2000</v>
      </c>
      <c r="X38" s="5">
        <v>1600</v>
      </c>
      <c r="Y38" s="6">
        <v>43322</v>
      </c>
      <c r="Z38" s="5" t="s">
        <v>40</v>
      </c>
      <c r="AA38" s="5" t="s">
        <v>247</v>
      </c>
      <c r="AB38" s="5">
        <v>0</v>
      </c>
    </row>
    <row r="39" spans="1:28" ht="27.95" x14ac:dyDescent="0.3">
      <c r="A39" s="3">
        <v>33</v>
      </c>
      <c r="B39" s="3" t="str">
        <f>"201900035977"</f>
        <v>201900035977</v>
      </c>
      <c r="C39" s="3" t="str">
        <f>"7324"</f>
        <v>7324</v>
      </c>
      <c r="D39" s="3" t="s">
        <v>248</v>
      </c>
      <c r="E39" s="3">
        <v>20511995028</v>
      </c>
      <c r="F39" s="3" t="s">
        <v>30</v>
      </c>
      <c r="G39" s="3" t="s">
        <v>249</v>
      </c>
      <c r="H39" s="3" t="s">
        <v>32</v>
      </c>
      <c r="I39" s="3" t="s">
        <v>32</v>
      </c>
      <c r="J39" s="3" t="s">
        <v>250</v>
      </c>
      <c r="K39" s="3" t="s">
        <v>33</v>
      </c>
      <c r="L39" s="3" t="s">
        <v>46</v>
      </c>
      <c r="M39" s="3" t="s">
        <v>67</v>
      </c>
      <c r="N39" s="3" t="s">
        <v>144</v>
      </c>
      <c r="O39" s="3" t="s">
        <v>56</v>
      </c>
      <c r="P39" s="3" t="s">
        <v>158</v>
      </c>
      <c r="Q39" s="3"/>
      <c r="R39" s="3"/>
      <c r="S39" s="3"/>
      <c r="T39" s="3"/>
      <c r="U39" s="3">
        <v>23000</v>
      </c>
      <c r="V39" s="3">
        <v>2500</v>
      </c>
      <c r="W39" s="3">
        <v>4000</v>
      </c>
      <c r="X39" s="3">
        <v>1606</v>
      </c>
      <c r="Y39" s="4">
        <v>43532</v>
      </c>
      <c r="Z39" s="3" t="s">
        <v>40</v>
      </c>
      <c r="AA39" s="3" t="s">
        <v>41</v>
      </c>
      <c r="AB39" s="3">
        <v>240</v>
      </c>
    </row>
    <row r="40" spans="1:28" ht="27.95" x14ac:dyDescent="0.3">
      <c r="A40" s="5">
        <v>34</v>
      </c>
      <c r="B40" s="5" t="str">
        <f>"201800078722"</f>
        <v>201800078722</v>
      </c>
      <c r="C40" s="5" t="str">
        <f>"9659"</f>
        <v>9659</v>
      </c>
      <c r="D40" s="5" t="s">
        <v>251</v>
      </c>
      <c r="E40" s="5">
        <v>20348303636</v>
      </c>
      <c r="F40" s="5" t="s">
        <v>252</v>
      </c>
      <c r="G40" s="5" t="s">
        <v>253</v>
      </c>
      <c r="H40" s="5" t="s">
        <v>32</v>
      </c>
      <c r="I40" s="5" t="s">
        <v>32</v>
      </c>
      <c r="J40" s="5" t="s">
        <v>215</v>
      </c>
      <c r="K40" s="5" t="s">
        <v>33</v>
      </c>
      <c r="L40" s="5" t="s">
        <v>123</v>
      </c>
      <c r="M40" s="5" t="s">
        <v>91</v>
      </c>
      <c r="N40" s="5" t="s">
        <v>92</v>
      </c>
      <c r="O40" s="5" t="s">
        <v>93</v>
      </c>
      <c r="P40" s="5" t="s">
        <v>94</v>
      </c>
      <c r="Q40" s="5" t="s">
        <v>254</v>
      </c>
      <c r="R40" s="5"/>
      <c r="S40" s="5"/>
      <c r="T40" s="5"/>
      <c r="U40" s="5">
        <v>25000</v>
      </c>
      <c r="V40" s="5">
        <v>3500</v>
      </c>
      <c r="W40" s="5">
        <v>0</v>
      </c>
      <c r="X40" s="5"/>
      <c r="Y40" s="6">
        <v>43234</v>
      </c>
      <c r="Z40" s="5" t="s">
        <v>40</v>
      </c>
      <c r="AA40" s="5" t="s">
        <v>255</v>
      </c>
      <c r="AB40" s="5">
        <v>0</v>
      </c>
    </row>
    <row r="41" spans="1:28" ht="27.95" x14ac:dyDescent="0.3">
      <c r="A41" s="3">
        <v>35</v>
      </c>
      <c r="B41" s="3" t="str">
        <f>"201800006491"</f>
        <v>201800006491</v>
      </c>
      <c r="C41" s="3" t="str">
        <f>"9464"</f>
        <v>9464</v>
      </c>
      <c r="D41" s="3" t="s">
        <v>256</v>
      </c>
      <c r="E41" s="3">
        <v>20127765279</v>
      </c>
      <c r="F41" s="3" t="s">
        <v>104</v>
      </c>
      <c r="G41" s="3" t="s">
        <v>257</v>
      </c>
      <c r="H41" s="3" t="s">
        <v>32</v>
      </c>
      <c r="I41" s="3" t="s">
        <v>32</v>
      </c>
      <c r="J41" s="3" t="s">
        <v>65</v>
      </c>
      <c r="K41" s="3" t="s">
        <v>33</v>
      </c>
      <c r="L41" s="3" t="s">
        <v>36</v>
      </c>
      <c r="M41" s="3" t="s">
        <v>38</v>
      </c>
      <c r="N41" s="3" t="s">
        <v>37</v>
      </c>
      <c r="O41" s="3" t="s">
        <v>36</v>
      </c>
      <c r="P41" s="3" t="s">
        <v>35</v>
      </c>
      <c r="Q41" s="3" t="s">
        <v>38</v>
      </c>
      <c r="R41" s="3" t="s">
        <v>60</v>
      </c>
      <c r="S41" s="3"/>
      <c r="T41" s="3"/>
      <c r="U41" s="3">
        <v>48000</v>
      </c>
      <c r="V41" s="3">
        <v>3000</v>
      </c>
      <c r="W41" s="3">
        <v>1250</v>
      </c>
      <c r="X41" s="3">
        <v>1466</v>
      </c>
      <c r="Y41" s="4">
        <v>43114</v>
      </c>
      <c r="Z41" s="3" t="s">
        <v>40</v>
      </c>
      <c r="AA41" s="3" t="s">
        <v>203</v>
      </c>
      <c r="AB41" s="3">
        <v>0</v>
      </c>
    </row>
    <row r="42" spans="1:28" ht="41.95" x14ac:dyDescent="0.3">
      <c r="A42" s="5">
        <v>36</v>
      </c>
      <c r="B42" s="5" t="str">
        <f>"201600116297"</f>
        <v>201600116297</v>
      </c>
      <c r="C42" s="5" t="str">
        <f>"17903"</f>
        <v>17903</v>
      </c>
      <c r="D42" s="5" t="s">
        <v>258</v>
      </c>
      <c r="E42" s="5">
        <v>20348325281</v>
      </c>
      <c r="F42" s="5" t="s">
        <v>259</v>
      </c>
      <c r="G42" s="5" t="s">
        <v>260</v>
      </c>
      <c r="H42" s="5" t="s">
        <v>32</v>
      </c>
      <c r="I42" s="5" t="s">
        <v>261</v>
      </c>
      <c r="J42" s="5" t="s">
        <v>262</v>
      </c>
      <c r="K42" s="5" t="s">
        <v>33</v>
      </c>
      <c r="L42" s="5" t="s">
        <v>38</v>
      </c>
      <c r="M42" s="5" t="s">
        <v>263</v>
      </c>
      <c r="N42" s="5" t="s">
        <v>60</v>
      </c>
      <c r="O42" s="5"/>
      <c r="P42" s="5"/>
      <c r="Q42" s="5"/>
      <c r="R42" s="5"/>
      <c r="S42" s="5"/>
      <c r="T42" s="5"/>
      <c r="U42" s="5">
        <v>16000</v>
      </c>
      <c r="V42" s="5">
        <v>3000</v>
      </c>
      <c r="W42" s="5">
        <v>0</v>
      </c>
      <c r="X42" s="5"/>
      <c r="Y42" s="6">
        <v>42601</v>
      </c>
      <c r="Z42" s="5" t="s">
        <v>40</v>
      </c>
      <c r="AA42" s="5" t="s">
        <v>264</v>
      </c>
      <c r="AB42" s="5">
        <v>720</v>
      </c>
    </row>
    <row r="43" spans="1:28" ht="27.95" x14ac:dyDescent="0.3">
      <c r="A43" s="3">
        <v>37</v>
      </c>
      <c r="B43" s="3" t="str">
        <f>"201900193251"</f>
        <v>201900193251</v>
      </c>
      <c r="C43" s="3" t="str">
        <f>"96935"</f>
        <v>96935</v>
      </c>
      <c r="D43" s="3" t="s">
        <v>265</v>
      </c>
      <c r="E43" s="3">
        <v>20100111838</v>
      </c>
      <c r="F43" s="3" t="s">
        <v>266</v>
      </c>
      <c r="G43" s="3" t="s">
        <v>267</v>
      </c>
      <c r="H43" s="3" t="s">
        <v>32</v>
      </c>
      <c r="I43" s="3" t="s">
        <v>225</v>
      </c>
      <c r="J43" s="3" t="s">
        <v>226</v>
      </c>
      <c r="K43" s="3" t="s">
        <v>33</v>
      </c>
      <c r="L43" s="3" t="s">
        <v>46</v>
      </c>
      <c r="M43" s="3" t="s">
        <v>268</v>
      </c>
      <c r="N43" s="3"/>
      <c r="O43" s="3"/>
      <c r="P43" s="3"/>
      <c r="Q43" s="3"/>
      <c r="R43" s="3"/>
      <c r="S43" s="3"/>
      <c r="T43" s="3"/>
      <c r="U43" s="3">
        <v>6520</v>
      </c>
      <c r="V43" s="3">
        <v>2500</v>
      </c>
      <c r="W43" s="3">
        <v>0</v>
      </c>
      <c r="X43" s="3"/>
      <c r="Y43" s="4">
        <v>43795</v>
      </c>
      <c r="Z43" s="3" t="s">
        <v>40</v>
      </c>
      <c r="AA43" s="3" t="s">
        <v>118</v>
      </c>
      <c r="AB43" s="3">
        <v>0</v>
      </c>
    </row>
    <row r="44" spans="1:28" x14ac:dyDescent="0.3">
      <c r="A44" s="5">
        <v>38</v>
      </c>
      <c r="B44" s="5" t="str">
        <f>"201700209072"</f>
        <v>201700209072</v>
      </c>
      <c r="C44" s="5" t="str">
        <f>"7276"</f>
        <v>7276</v>
      </c>
      <c r="D44" s="5" t="s">
        <v>269</v>
      </c>
      <c r="E44" s="5">
        <v>20508832134</v>
      </c>
      <c r="F44" s="5" t="s">
        <v>270</v>
      </c>
      <c r="G44" s="5" t="s">
        <v>271</v>
      </c>
      <c r="H44" s="5" t="s">
        <v>32</v>
      </c>
      <c r="I44" s="5" t="s">
        <v>32</v>
      </c>
      <c r="J44" s="5" t="s">
        <v>32</v>
      </c>
      <c r="K44" s="5" t="s">
        <v>33</v>
      </c>
      <c r="L44" s="5" t="s">
        <v>272</v>
      </c>
      <c r="M44" s="5" t="s">
        <v>115</v>
      </c>
      <c r="N44" s="5" t="s">
        <v>124</v>
      </c>
      <c r="O44" s="5" t="s">
        <v>68</v>
      </c>
      <c r="P44" s="5" t="s">
        <v>55</v>
      </c>
      <c r="Q44" s="5" t="s">
        <v>55</v>
      </c>
      <c r="R44" s="5" t="s">
        <v>57</v>
      </c>
      <c r="S44" s="5"/>
      <c r="T44" s="5"/>
      <c r="U44" s="5">
        <v>34000</v>
      </c>
      <c r="V44" s="5">
        <v>2900</v>
      </c>
      <c r="W44" s="5">
        <v>1250</v>
      </c>
      <c r="X44" s="5">
        <v>900</v>
      </c>
      <c r="Y44" s="6">
        <v>43078</v>
      </c>
      <c r="Z44" s="5" t="s">
        <v>40</v>
      </c>
      <c r="AA44" s="5" t="s">
        <v>273</v>
      </c>
      <c r="AB44" s="5">
        <v>0</v>
      </c>
    </row>
    <row r="45" spans="1:28" ht="27.95" x14ac:dyDescent="0.3">
      <c r="A45" s="3">
        <v>39</v>
      </c>
      <c r="B45" s="3" t="str">
        <f>"201900048932"</f>
        <v>201900048932</v>
      </c>
      <c r="C45" s="3" t="str">
        <f>"14513"</f>
        <v>14513</v>
      </c>
      <c r="D45" s="3" t="s">
        <v>274</v>
      </c>
      <c r="E45" s="3">
        <v>20548469679</v>
      </c>
      <c r="F45" s="3" t="s">
        <v>275</v>
      </c>
      <c r="G45" s="3" t="s">
        <v>276</v>
      </c>
      <c r="H45" s="3" t="s">
        <v>45</v>
      </c>
      <c r="I45" s="3" t="s">
        <v>45</v>
      </c>
      <c r="J45" s="3" t="s">
        <v>277</v>
      </c>
      <c r="K45" s="3" t="s">
        <v>33</v>
      </c>
      <c r="L45" s="3" t="s">
        <v>75</v>
      </c>
      <c r="M45" s="3" t="s">
        <v>38</v>
      </c>
      <c r="N45" s="3" t="s">
        <v>38</v>
      </c>
      <c r="O45" s="3" t="s">
        <v>278</v>
      </c>
      <c r="P45" s="3" t="s">
        <v>36</v>
      </c>
      <c r="Q45" s="3"/>
      <c r="R45" s="3"/>
      <c r="S45" s="3"/>
      <c r="T45" s="3"/>
      <c r="U45" s="3">
        <v>32000</v>
      </c>
      <c r="V45" s="3">
        <v>3200</v>
      </c>
      <c r="W45" s="3">
        <v>4000</v>
      </c>
      <c r="X45" s="3"/>
      <c r="Y45" s="4">
        <v>43963</v>
      </c>
      <c r="Z45" s="3" t="s">
        <v>40</v>
      </c>
      <c r="AA45" s="3" t="s">
        <v>279</v>
      </c>
      <c r="AB45" s="3">
        <v>0</v>
      </c>
    </row>
    <row r="46" spans="1:28" ht="41.95" x14ac:dyDescent="0.3">
      <c r="A46" s="5">
        <v>40</v>
      </c>
      <c r="B46" s="5" t="str">
        <f>"201800015168"</f>
        <v>201800015168</v>
      </c>
      <c r="C46" s="5" t="str">
        <f>"7758"</f>
        <v>7758</v>
      </c>
      <c r="D46" s="5" t="s">
        <v>280</v>
      </c>
      <c r="E46" s="5">
        <v>20127765279</v>
      </c>
      <c r="F46" s="5" t="s">
        <v>104</v>
      </c>
      <c r="G46" s="5" t="s">
        <v>281</v>
      </c>
      <c r="H46" s="5" t="s">
        <v>32</v>
      </c>
      <c r="I46" s="5" t="s">
        <v>32</v>
      </c>
      <c r="J46" s="5" t="s">
        <v>128</v>
      </c>
      <c r="K46" s="5" t="s">
        <v>33</v>
      </c>
      <c r="L46" s="5" t="s">
        <v>46</v>
      </c>
      <c r="M46" s="5" t="s">
        <v>38</v>
      </c>
      <c r="N46" s="5" t="s">
        <v>36</v>
      </c>
      <c r="O46" s="5" t="s">
        <v>57</v>
      </c>
      <c r="P46" s="5" t="s">
        <v>48</v>
      </c>
      <c r="Q46" s="5"/>
      <c r="R46" s="5"/>
      <c r="S46" s="5"/>
      <c r="T46" s="5"/>
      <c r="U46" s="5">
        <v>20000</v>
      </c>
      <c r="V46" s="5">
        <v>2500</v>
      </c>
      <c r="W46" s="5">
        <v>2000</v>
      </c>
      <c r="X46" s="5">
        <v>1003</v>
      </c>
      <c r="Y46" s="6">
        <v>43131</v>
      </c>
      <c r="Z46" s="5" t="s">
        <v>40</v>
      </c>
      <c r="AA46" s="5" t="s">
        <v>282</v>
      </c>
      <c r="AB46" s="5">
        <v>240</v>
      </c>
    </row>
    <row r="47" spans="1:28" ht="27.95" x14ac:dyDescent="0.3">
      <c r="A47" s="3">
        <v>41</v>
      </c>
      <c r="B47" s="3" t="str">
        <f>"201600145136"</f>
        <v>201600145136</v>
      </c>
      <c r="C47" s="3" t="str">
        <f>"116243"</f>
        <v>116243</v>
      </c>
      <c r="D47" s="3" t="s">
        <v>283</v>
      </c>
      <c r="E47" s="3">
        <v>20547011954</v>
      </c>
      <c r="F47" s="3" t="s">
        <v>284</v>
      </c>
      <c r="G47" s="3" t="s">
        <v>285</v>
      </c>
      <c r="H47" s="3" t="s">
        <v>32</v>
      </c>
      <c r="I47" s="3" t="s">
        <v>32</v>
      </c>
      <c r="J47" s="3" t="s">
        <v>65</v>
      </c>
      <c r="K47" s="3" t="s">
        <v>33</v>
      </c>
      <c r="L47" s="3" t="s">
        <v>38</v>
      </c>
      <c r="M47" s="3" t="s">
        <v>286</v>
      </c>
      <c r="N47" s="3" t="s">
        <v>163</v>
      </c>
      <c r="O47" s="3" t="s">
        <v>287</v>
      </c>
      <c r="P47" s="3"/>
      <c r="Q47" s="3"/>
      <c r="R47" s="3"/>
      <c r="S47" s="3"/>
      <c r="T47" s="3"/>
      <c r="U47" s="3">
        <v>20000</v>
      </c>
      <c r="V47" s="3">
        <v>4000</v>
      </c>
      <c r="W47" s="3">
        <v>2000</v>
      </c>
      <c r="X47" s="3">
        <v>1466</v>
      </c>
      <c r="Y47" s="4">
        <v>42661</v>
      </c>
      <c r="Z47" s="3" t="s">
        <v>40</v>
      </c>
      <c r="AA47" s="3" t="s">
        <v>288</v>
      </c>
      <c r="AB47" s="3">
        <v>0</v>
      </c>
    </row>
    <row r="48" spans="1:28" ht="27.95" x14ac:dyDescent="0.3">
      <c r="A48" s="5">
        <v>42</v>
      </c>
      <c r="B48" s="5" t="str">
        <f>"201700086602"</f>
        <v>201700086602</v>
      </c>
      <c r="C48" s="5" t="str">
        <f>"61226"</f>
        <v>61226</v>
      </c>
      <c r="D48" s="5" t="s">
        <v>289</v>
      </c>
      <c r="E48" s="5">
        <v>20410312396</v>
      </c>
      <c r="F48" s="5" t="s">
        <v>188</v>
      </c>
      <c r="G48" s="5" t="s">
        <v>290</v>
      </c>
      <c r="H48" s="5" t="s">
        <v>45</v>
      </c>
      <c r="I48" s="5" t="s">
        <v>45</v>
      </c>
      <c r="J48" s="5" t="s">
        <v>45</v>
      </c>
      <c r="K48" s="5" t="s">
        <v>33</v>
      </c>
      <c r="L48" s="5" t="s">
        <v>55</v>
      </c>
      <c r="M48" s="5" t="s">
        <v>291</v>
      </c>
      <c r="N48" s="5" t="s">
        <v>292</v>
      </c>
      <c r="O48" s="5" t="s">
        <v>174</v>
      </c>
      <c r="P48" s="5"/>
      <c r="Q48" s="5"/>
      <c r="R48" s="5"/>
      <c r="S48" s="5"/>
      <c r="T48" s="5"/>
      <c r="U48" s="5">
        <v>18000</v>
      </c>
      <c r="V48" s="5">
        <v>4500</v>
      </c>
      <c r="W48" s="5">
        <v>1050</v>
      </c>
      <c r="X48" s="5"/>
      <c r="Y48" s="6">
        <v>42901</v>
      </c>
      <c r="Z48" s="5" t="s">
        <v>40</v>
      </c>
      <c r="AA48" s="5" t="s">
        <v>194</v>
      </c>
      <c r="AB48" s="5">
        <v>0</v>
      </c>
    </row>
    <row r="49" spans="1:28" ht="27.95" x14ac:dyDescent="0.3">
      <c r="A49" s="3">
        <v>43</v>
      </c>
      <c r="B49" s="3" t="str">
        <f>"201900036403"</f>
        <v>201900036403</v>
      </c>
      <c r="C49" s="3" t="str">
        <f>"16631"</f>
        <v>16631</v>
      </c>
      <c r="D49" s="3" t="s">
        <v>293</v>
      </c>
      <c r="E49" s="3">
        <v>20109980855</v>
      </c>
      <c r="F49" s="3" t="s">
        <v>294</v>
      </c>
      <c r="G49" s="3" t="s">
        <v>295</v>
      </c>
      <c r="H49" s="3" t="s">
        <v>197</v>
      </c>
      <c r="I49" s="3" t="s">
        <v>197</v>
      </c>
      <c r="J49" s="3" t="s">
        <v>198</v>
      </c>
      <c r="K49" s="3" t="s">
        <v>33</v>
      </c>
      <c r="L49" s="3" t="s">
        <v>55</v>
      </c>
      <c r="M49" s="3" t="s">
        <v>296</v>
      </c>
      <c r="N49" s="3" t="s">
        <v>297</v>
      </c>
      <c r="O49" s="3" t="s">
        <v>298</v>
      </c>
      <c r="P49" s="3"/>
      <c r="Q49" s="3"/>
      <c r="R49" s="3"/>
      <c r="S49" s="3"/>
      <c r="T49" s="3"/>
      <c r="U49" s="3">
        <v>26000</v>
      </c>
      <c r="V49" s="3">
        <v>3200</v>
      </c>
      <c r="W49" s="3">
        <v>2000</v>
      </c>
      <c r="X49" s="3"/>
      <c r="Y49" s="4">
        <v>43533</v>
      </c>
      <c r="Z49" s="3" t="s">
        <v>40</v>
      </c>
      <c r="AA49" s="3" t="s">
        <v>299</v>
      </c>
      <c r="AB49" s="3">
        <v>0</v>
      </c>
    </row>
    <row r="50" spans="1:28" ht="27.95" x14ac:dyDescent="0.3">
      <c r="A50" s="5">
        <v>44</v>
      </c>
      <c r="B50" s="5" t="str">
        <f>"201900119102"</f>
        <v>201900119102</v>
      </c>
      <c r="C50" s="5" t="str">
        <f>"114073"</f>
        <v>114073</v>
      </c>
      <c r="D50" s="5" t="s">
        <v>300</v>
      </c>
      <c r="E50" s="5">
        <v>20325753821</v>
      </c>
      <c r="F50" s="5" t="s">
        <v>301</v>
      </c>
      <c r="G50" s="5" t="s">
        <v>302</v>
      </c>
      <c r="H50" s="5" t="s">
        <v>32</v>
      </c>
      <c r="I50" s="5" t="s">
        <v>32</v>
      </c>
      <c r="J50" s="5" t="s">
        <v>65</v>
      </c>
      <c r="K50" s="5" t="s">
        <v>33</v>
      </c>
      <c r="L50" s="5" t="s">
        <v>46</v>
      </c>
      <c r="M50" s="5" t="s">
        <v>303</v>
      </c>
      <c r="N50" s="5" t="s">
        <v>92</v>
      </c>
      <c r="O50" s="5" t="s">
        <v>93</v>
      </c>
      <c r="P50" s="5" t="s">
        <v>91</v>
      </c>
      <c r="Q50" s="5"/>
      <c r="R50" s="5"/>
      <c r="S50" s="5"/>
      <c r="T50" s="5"/>
      <c r="U50" s="5">
        <v>20000</v>
      </c>
      <c r="V50" s="5">
        <v>2500</v>
      </c>
      <c r="W50" s="5">
        <v>2100</v>
      </c>
      <c r="X50" s="5">
        <v>1270</v>
      </c>
      <c r="Y50" s="6">
        <v>43669</v>
      </c>
      <c r="Z50" s="5" t="s">
        <v>40</v>
      </c>
      <c r="AA50" s="5" t="s">
        <v>304</v>
      </c>
      <c r="AB50" s="5">
        <v>240</v>
      </c>
    </row>
    <row r="51" spans="1:28" ht="27.95" x14ac:dyDescent="0.3">
      <c r="A51" s="3">
        <v>45</v>
      </c>
      <c r="B51" s="3" t="str">
        <f>"201900075917"</f>
        <v>201900075917</v>
      </c>
      <c r="C51" s="3" t="str">
        <f>"38208"</f>
        <v>38208</v>
      </c>
      <c r="D51" s="3" t="s">
        <v>305</v>
      </c>
      <c r="E51" s="3">
        <v>20504968058</v>
      </c>
      <c r="F51" s="3" t="s">
        <v>306</v>
      </c>
      <c r="G51" s="3" t="s">
        <v>307</v>
      </c>
      <c r="H51" s="3" t="s">
        <v>32</v>
      </c>
      <c r="I51" s="3" t="s">
        <v>32</v>
      </c>
      <c r="J51" s="3" t="s">
        <v>237</v>
      </c>
      <c r="K51" s="3" t="s">
        <v>33</v>
      </c>
      <c r="L51" s="3" t="s">
        <v>54</v>
      </c>
      <c r="M51" s="3" t="s">
        <v>308</v>
      </c>
      <c r="N51" s="3" t="s">
        <v>309</v>
      </c>
      <c r="O51" s="3"/>
      <c r="P51" s="3"/>
      <c r="Q51" s="3"/>
      <c r="R51" s="3"/>
      <c r="S51" s="3"/>
      <c r="T51" s="3"/>
      <c r="U51" s="3">
        <v>18000</v>
      </c>
      <c r="V51" s="3">
        <v>3000</v>
      </c>
      <c r="W51" s="3">
        <v>1000</v>
      </c>
      <c r="X51" s="3">
        <v>1800</v>
      </c>
      <c r="Y51" s="4">
        <v>43599</v>
      </c>
      <c r="Z51" s="3" t="s">
        <v>40</v>
      </c>
      <c r="AA51" s="3" t="s">
        <v>310</v>
      </c>
      <c r="AB51" s="3">
        <v>0</v>
      </c>
    </row>
    <row r="52" spans="1:28" ht="27.95" x14ac:dyDescent="0.3">
      <c r="A52" s="5">
        <v>46</v>
      </c>
      <c r="B52" s="5" t="str">
        <f>"201900188423"</f>
        <v>201900188423</v>
      </c>
      <c r="C52" s="5" t="str">
        <f>"7806"</f>
        <v>7806</v>
      </c>
      <c r="D52" s="5" t="s">
        <v>311</v>
      </c>
      <c r="E52" s="5">
        <v>20511995028</v>
      </c>
      <c r="F52" s="5" t="s">
        <v>30</v>
      </c>
      <c r="G52" s="5" t="s">
        <v>312</v>
      </c>
      <c r="H52" s="5" t="s">
        <v>32</v>
      </c>
      <c r="I52" s="5" t="s">
        <v>32</v>
      </c>
      <c r="J52" s="5" t="s">
        <v>215</v>
      </c>
      <c r="K52" s="5" t="s">
        <v>33</v>
      </c>
      <c r="L52" s="5" t="s">
        <v>46</v>
      </c>
      <c r="M52" s="5" t="s">
        <v>39</v>
      </c>
      <c r="N52" s="5" t="s">
        <v>313</v>
      </c>
      <c r="O52" s="5"/>
      <c r="P52" s="5"/>
      <c r="Q52" s="5"/>
      <c r="R52" s="5"/>
      <c r="S52" s="5"/>
      <c r="T52" s="5"/>
      <c r="U52" s="5">
        <v>7000</v>
      </c>
      <c r="V52" s="5">
        <v>2500</v>
      </c>
      <c r="W52" s="5">
        <v>4000</v>
      </c>
      <c r="X52" s="5"/>
      <c r="Y52" s="6">
        <v>43783</v>
      </c>
      <c r="Z52" s="5" t="s">
        <v>40</v>
      </c>
      <c r="AA52" s="5" t="s">
        <v>41</v>
      </c>
      <c r="AB52" s="5">
        <v>240</v>
      </c>
    </row>
    <row r="53" spans="1:28" ht="41.95" x14ac:dyDescent="0.3">
      <c r="A53" s="3">
        <v>47</v>
      </c>
      <c r="B53" s="3" t="str">
        <f>"201400004759"</f>
        <v>201400004759</v>
      </c>
      <c r="C53" s="3" t="str">
        <f>"8176"</f>
        <v>8176</v>
      </c>
      <c r="D53" s="3" t="s">
        <v>314</v>
      </c>
      <c r="E53" s="3">
        <v>20346680351</v>
      </c>
      <c r="F53" s="3" t="s">
        <v>315</v>
      </c>
      <c r="G53" s="3" t="s">
        <v>316</v>
      </c>
      <c r="H53" s="3" t="s">
        <v>32</v>
      </c>
      <c r="I53" s="3" t="s">
        <v>32</v>
      </c>
      <c r="J53" s="3" t="s">
        <v>317</v>
      </c>
      <c r="K53" s="3" t="s">
        <v>33</v>
      </c>
      <c r="L53" s="3" t="s">
        <v>38</v>
      </c>
      <c r="M53" s="3" t="s">
        <v>37</v>
      </c>
      <c r="N53" s="3" t="s">
        <v>56</v>
      </c>
      <c r="O53" s="3" t="s">
        <v>318</v>
      </c>
      <c r="P53" s="3" t="s">
        <v>91</v>
      </c>
      <c r="Q53" s="3" t="s">
        <v>46</v>
      </c>
      <c r="R53" s="3"/>
      <c r="S53" s="3"/>
      <c r="T53" s="3"/>
      <c r="U53" s="3">
        <v>29000</v>
      </c>
      <c r="V53" s="3">
        <v>2500</v>
      </c>
      <c r="W53" s="3">
        <v>2000</v>
      </c>
      <c r="X53" s="3">
        <v>1143</v>
      </c>
      <c r="Y53" s="4">
        <v>41665</v>
      </c>
      <c r="Z53" s="3" t="s">
        <v>40</v>
      </c>
      <c r="AA53" s="3" t="s">
        <v>288</v>
      </c>
      <c r="AB53" s="3">
        <v>0</v>
      </c>
    </row>
    <row r="54" spans="1:28" x14ac:dyDescent="0.3">
      <c r="A54" s="5">
        <v>48</v>
      </c>
      <c r="B54" s="5" t="str">
        <f>"201800010263"</f>
        <v>201800010263</v>
      </c>
      <c r="C54" s="5" t="str">
        <f>"20979"</f>
        <v>20979</v>
      </c>
      <c r="D54" s="5" t="s">
        <v>319</v>
      </c>
      <c r="E54" s="5">
        <v>20503840121</v>
      </c>
      <c r="F54" s="5" t="s">
        <v>320</v>
      </c>
      <c r="G54" s="5" t="s">
        <v>321</v>
      </c>
      <c r="H54" s="5" t="s">
        <v>197</v>
      </c>
      <c r="I54" s="5" t="s">
        <v>197</v>
      </c>
      <c r="J54" s="5" t="s">
        <v>198</v>
      </c>
      <c r="K54" s="5" t="s">
        <v>33</v>
      </c>
      <c r="L54" s="5" t="s">
        <v>75</v>
      </c>
      <c r="M54" s="5" t="s">
        <v>38</v>
      </c>
      <c r="N54" s="5" t="s">
        <v>36</v>
      </c>
      <c r="O54" s="5" t="s">
        <v>59</v>
      </c>
      <c r="P54" s="5" t="s">
        <v>76</v>
      </c>
      <c r="Q54" s="5" t="s">
        <v>131</v>
      </c>
      <c r="R54" s="5"/>
      <c r="S54" s="5"/>
      <c r="T54" s="5"/>
      <c r="U54" s="5">
        <v>22000</v>
      </c>
      <c r="V54" s="5">
        <v>3200</v>
      </c>
      <c r="W54" s="5">
        <v>1250</v>
      </c>
      <c r="X54" s="5">
        <v>1100</v>
      </c>
      <c r="Y54" s="6">
        <v>43126</v>
      </c>
      <c r="Z54" s="5" t="s">
        <v>40</v>
      </c>
      <c r="AA54" s="5" t="s">
        <v>247</v>
      </c>
      <c r="AB54" s="5">
        <v>0</v>
      </c>
    </row>
    <row r="55" spans="1:28" ht="27.95" x14ac:dyDescent="0.3">
      <c r="A55" s="3">
        <v>49</v>
      </c>
      <c r="B55" s="3" t="str">
        <f>"201900067999"</f>
        <v>201900067999</v>
      </c>
      <c r="C55" s="3" t="str">
        <f>"108836"</f>
        <v>108836</v>
      </c>
      <c r="D55" s="3" t="s">
        <v>322</v>
      </c>
      <c r="E55" s="3">
        <v>20514326496</v>
      </c>
      <c r="F55" s="3" t="s">
        <v>177</v>
      </c>
      <c r="G55" s="3" t="s">
        <v>323</v>
      </c>
      <c r="H55" s="3" t="s">
        <v>45</v>
      </c>
      <c r="I55" s="3" t="s">
        <v>324</v>
      </c>
      <c r="J55" s="3" t="s">
        <v>325</v>
      </c>
      <c r="K55" s="3" t="s">
        <v>33</v>
      </c>
      <c r="L55" s="3" t="s">
        <v>54</v>
      </c>
      <c r="M55" s="3" t="s">
        <v>278</v>
      </c>
      <c r="N55" s="3" t="s">
        <v>326</v>
      </c>
      <c r="O55" s="3" t="s">
        <v>38</v>
      </c>
      <c r="P55" s="3"/>
      <c r="Q55" s="3"/>
      <c r="R55" s="3"/>
      <c r="S55" s="3"/>
      <c r="T55" s="3"/>
      <c r="U55" s="3">
        <v>24000</v>
      </c>
      <c r="V55" s="3">
        <v>3000</v>
      </c>
      <c r="W55" s="3">
        <v>1250</v>
      </c>
      <c r="X55" s="3">
        <v>989</v>
      </c>
      <c r="Y55" s="4">
        <v>43581</v>
      </c>
      <c r="Z55" s="3" t="s">
        <v>40</v>
      </c>
      <c r="AA55" s="3" t="s">
        <v>181</v>
      </c>
      <c r="AB55" s="3">
        <v>0</v>
      </c>
    </row>
    <row r="56" spans="1:28" ht="27.95" x14ac:dyDescent="0.3">
      <c r="A56" s="5">
        <v>50</v>
      </c>
      <c r="B56" s="5" t="str">
        <f>"201800040128"</f>
        <v>201800040128</v>
      </c>
      <c r="C56" s="5" t="str">
        <f>"85698"</f>
        <v>85698</v>
      </c>
      <c r="D56" s="5" t="s">
        <v>327</v>
      </c>
      <c r="E56" s="5">
        <v>20511995028</v>
      </c>
      <c r="F56" s="5" t="s">
        <v>30</v>
      </c>
      <c r="G56" s="5" t="s">
        <v>328</v>
      </c>
      <c r="H56" s="5" t="s">
        <v>32</v>
      </c>
      <c r="I56" s="5" t="s">
        <v>32</v>
      </c>
      <c r="J56" s="5" t="s">
        <v>74</v>
      </c>
      <c r="K56" s="5" t="s">
        <v>33</v>
      </c>
      <c r="L56" s="5" t="s">
        <v>329</v>
      </c>
      <c r="M56" s="5" t="s">
        <v>38</v>
      </c>
      <c r="N56" s="5"/>
      <c r="O56" s="5"/>
      <c r="P56" s="5"/>
      <c r="Q56" s="5"/>
      <c r="R56" s="5"/>
      <c r="S56" s="5"/>
      <c r="T56" s="5"/>
      <c r="U56" s="5">
        <v>14000</v>
      </c>
      <c r="V56" s="5">
        <v>3000</v>
      </c>
      <c r="W56" s="5">
        <v>2500</v>
      </c>
      <c r="X56" s="5">
        <v>950</v>
      </c>
      <c r="Y56" s="6">
        <v>43170</v>
      </c>
      <c r="Z56" s="5" t="s">
        <v>40</v>
      </c>
      <c r="AA56" s="5" t="s">
        <v>41</v>
      </c>
      <c r="AB56" s="5">
        <v>0</v>
      </c>
    </row>
    <row r="57" spans="1:28" ht="41.95" x14ac:dyDescent="0.3">
      <c r="A57" s="3">
        <v>51</v>
      </c>
      <c r="B57" s="3" t="str">
        <f>"201800040122"</f>
        <v>201800040122</v>
      </c>
      <c r="C57" s="3" t="str">
        <f>"88439"</f>
        <v>88439</v>
      </c>
      <c r="D57" s="3" t="s">
        <v>330</v>
      </c>
      <c r="E57" s="3">
        <v>20511995028</v>
      </c>
      <c r="F57" s="3" t="s">
        <v>331</v>
      </c>
      <c r="G57" s="3" t="s">
        <v>332</v>
      </c>
      <c r="H57" s="3" t="s">
        <v>32</v>
      </c>
      <c r="I57" s="3" t="s">
        <v>32</v>
      </c>
      <c r="J57" s="3" t="s">
        <v>143</v>
      </c>
      <c r="K57" s="3" t="s">
        <v>33</v>
      </c>
      <c r="L57" s="3" t="s">
        <v>34</v>
      </c>
      <c r="M57" s="3" t="s">
        <v>91</v>
      </c>
      <c r="N57" s="3" t="s">
        <v>333</v>
      </c>
      <c r="O57" s="3"/>
      <c r="P57" s="3"/>
      <c r="Q57" s="3"/>
      <c r="R57" s="3"/>
      <c r="S57" s="3"/>
      <c r="T57" s="3"/>
      <c r="U57" s="3">
        <v>10000</v>
      </c>
      <c r="V57" s="3">
        <v>2000</v>
      </c>
      <c r="W57" s="3">
        <v>3140</v>
      </c>
      <c r="X57" s="3">
        <v>1200</v>
      </c>
      <c r="Y57" s="4">
        <v>43178</v>
      </c>
      <c r="Z57" s="3" t="s">
        <v>40</v>
      </c>
      <c r="AA57" s="3" t="s">
        <v>41</v>
      </c>
      <c r="AB57" s="3">
        <v>240</v>
      </c>
    </row>
    <row r="58" spans="1:28" ht="27.95" x14ac:dyDescent="0.3">
      <c r="A58" s="5">
        <v>52</v>
      </c>
      <c r="B58" s="5" t="str">
        <f>"201900153667"</f>
        <v>201900153667</v>
      </c>
      <c r="C58" s="5" t="str">
        <f>"82834"</f>
        <v>82834</v>
      </c>
      <c r="D58" s="5" t="s">
        <v>334</v>
      </c>
      <c r="E58" s="5">
        <v>20457948060</v>
      </c>
      <c r="F58" s="5" t="s">
        <v>335</v>
      </c>
      <c r="G58" s="5" t="s">
        <v>336</v>
      </c>
      <c r="H58" s="5" t="s">
        <v>32</v>
      </c>
      <c r="I58" s="5" t="s">
        <v>32</v>
      </c>
      <c r="J58" s="5" t="s">
        <v>32</v>
      </c>
      <c r="K58" s="5" t="s">
        <v>33</v>
      </c>
      <c r="L58" s="5" t="s">
        <v>337</v>
      </c>
      <c r="M58" s="5"/>
      <c r="N58" s="5"/>
      <c r="O58" s="5"/>
      <c r="P58" s="5"/>
      <c r="Q58" s="5"/>
      <c r="R58" s="5"/>
      <c r="S58" s="5"/>
      <c r="T58" s="5"/>
      <c r="U58" s="5">
        <v>6000</v>
      </c>
      <c r="V58" s="5">
        <v>2500</v>
      </c>
      <c r="W58" s="5">
        <v>1250</v>
      </c>
      <c r="X58" s="5"/>
      <c r="Y58" s="6">
        <v>43731</v>
      </c>
      <c r="Z58" s="5" t="s">
        <v>40</v>
      </c>
      <c r="AA58" s="5" t="s">
        <v>338</v>
      </c>
      <c r="AB58" s="5">
        <v>720</v>
      </c>
    </row>
    <row r="59" spans="1:28" ht="27.95" x14ac:dyDescent="0.3">
      <c r="A59" s="3">
        <v>53</v>
      </c>
      <c r="B59" s="3" t="str">
        <f>"201800010868"</f>
        <v>201800010868</v>
      </c>
      <c r="C59" s="3" t="str">
        <f>"40709"</f>
        <v>40709</v>
      </c>
      <c r="D59" s="3" t="s">
        <v>339</v>
      </c>
      <c r="E59" s="3">
        <v>20127765279</v>
      </c>
      <c r="F59" s="3" t="s">
        <v>104</v>
      </c>
      <c r="G59" s="3" t="s">
        <v>340</v>
      </c>
      <c r="H59" s="3" t="s">
        <v>32</v>
      </c>
      <c r="I59" s="3" t="s">
        <v>32</v>
      </c>
      <c r="J59" s="3" t="s">
        <v>341</v>
      </c>
      <c r="K59" s="3" t="s">
        <v>33</v>
      </c>
      <c r="L59" s="3" t="s">
        <v>46</v>
      </c>
      <c r="M59" s="3" t="s">
        <v>55</v>
      </c>
      <c r="N59" s="3" t="s">
        <v>329</v>
      </c>
      <c r="O59" s="3" t="s">
        <v>94</v>
      </c>
      <c r="P59" s="3" t="s">
        <v>48</v>
      </c>
      <c r="Q59" s="3"/>
      <c r="R59" s="3"/>
      <c r="S59" s="3"/>
      <c r="T59" s="3"/>
      <c r="U59" s="3">
        <v>17000</v>
      </c>
      <c r="V59" s="3">
        <v>2500</v>
      </c>
      <c r="W59" s="3">
        <v>1250</v>
      </c>
      <c r="X59" s="3">
        <v>989</v>
      </c>
      <c r="Y59" s="4">
        <v>43139</v>
      </c>
      <c r="Z59" s="3" t="s">
        <v>40</v>
      </c>
      <c r="AA59" s="3" t="s">
        <v>203</v>
      </c>
      <c r="AB59" s="3">
        <v>240</v>
      </c>
    </row>
    <row r="60" spans="1:28" ht="27.95" x14ac:dyDescent="0.3">
      <c r="A60" s="5">
        <v>54</v>
      </c>
      <c r="B60" s="5" t="str">
        <f>"201800133495"</f>
        <v>201800133495</v>
      </c>
      <c r="C60" s="5" t="str">
        <f>"9192"</f>
        <v>9192</v>
      </c>
      <c r="D60" s="5" t="s">
        <v>342</v>
      </c>
      <c r="E60" s="5">
        <v>20602969542</v>
      </c>
      <c r="F60" s="5" t="s">
        <v>343</v>
      </c>
      <c r="G60" s="5" t="s">
        <v>344</v>
      </c>
      <c r="H60" s="5" t="s">
        <v>197</v>
      </c>
      <c r="I60" s="5" t="s">
        <v>197</v>
      </c>
      <c r="J60" s="5" t="s">
        <v>345</v>
      </c>
      <c r="K60" s="5" t="s">
        <v>33</v>
      </c>
      <c r="L60" s="5" t="s">
        <v>75</v>
      </c>
      <c r="M60" s="5" t="s">
        <v>38</v>
      </c>
      <c r="N60" s="5" t="s">
        <v>36</v>
      </c>
      <c r="O60" s="5" t="s">
        <v>346</v>
      </c>
      <c r="P60" s="5" t="s">
        <v>347</v>
      </c>
      <c r="Q60" s="5"/>
      <c r="R60" s="5"/>
      <c r="S60" s="5"/>
      <c r="T60" s="5"/>
      <c r="U60" s="5">
        <v>27000</v>
      </c>
      <c r="V60" s="5">
        <v>3200</v>
      </c>
      <c r="W60" s="5">
        <v>19200</v>
      </c>
      <c r="X60" s="5">
        <v>167762</v>
      </c>
      <c r="Y60" s="6">
        <v>43328</v>
      </c>
      <c r="Z60" s="5" t="s">
        <v>40</v>
      </c>
      <c r="AA60" s="5" t="s">
        <v>348</v>
      </c>
      <c r="AB60" s="5">
        <v>0</v>
      </c>
    </row>
    <row r="61" spans="1:28" ht="27.95" x14ac:dyDescent="0.3">
      <c r="A61" s="3">
        <v>55</v>
      </c>
      <c r="B61" s="3" t="str">
        <f>"201900027875"</f>
        <v>201900027875</v>
      </c>
      <c r="C61" s="3" t="str">
        <f>"7316"</f>
        <v>7316</v>
      </c>
      <c r="D61" s="3" t="s">
        <v>349</v>
      </c>
      <c r="E61" s="3">
        <v>20537901277</v>
      </c>
      <c r="F61" s="3" t="s">
        <v>350</v>
      </c>
      <c r="G61" s="3" t="s">
        <v>351</v>
      </c>
      <c r="H61" s="3" t="s">
        <v>32</v>
      </c>
      <c r="I61" s="3" t="s">
        <v>32</v>
      </c>
      <c r="J61" s="3" t="s">
        <v>143</v>
      </c>
      <c r="K61" s="3" t="s">
        <v>33</v>
      </c>
      <c r="L61" s="3" t="s">
        <v>46</v>
      </c>
      <c r="M61" s="3" t="s">
        <v>39</v>
      </c>
      <c r="N61" s="3" t="s">
        <v>352</v>
      </c>
      <c r="O61" s="3" t="s">
        <v>56</v>
      </c>
      <c r="P61" s="3" t="s">
        <v>57</v>
      </c>
      <c r="Q61" s="3" t="s">
        <v>48</v>
      </c>
      <c r="R61" s="3"/>
      <c r="S61" s="3"/>
      <c r="T61" s="3"/>
      <c r="U61" s="3">
        <v>16000</v>
      </c>
      <c r="V61" s="3">
        <v>2500</v>
      </c>
      <c r="W61" s="3">
        <v>4000</v>
      </c>
      <c r="X61" s="3"/>
      <c r="Y61" s="4">
        <v>43517</v>
      </c>
      <c r="Z61" s="3" t="s">
        <v>40</v>
      </c>
      <c r="AA61" s="3" t="s">
        <v>353</v>
      </c>
      <c r="AB61" s="3">
        <v>0</v>
      </c>
    </row>
    <row r="62" spans="1:28" ht="27.95" x14ac:dyDescent="0.3">
      <c r="A62" s="5">
        <v>56</v>
      </c>
      <c r="B62" s="5" t="str">
        <f>"201700217787"</f>
        <v>201700217787</v>
      </c>
      <c r="C62" s="5" t="str">
        <f>"16700"</f>
        <v>16700</v>
      </c>
      <c r="D62" s="5" t="s">
        <v>354</v>
      </c>
      <c r="E62" s="5">
        <v>20156930963</v>
      </c>
      <c r="F62" s="5" t="s">
        <v>355</v>
      </c>
      <c r="G62" s="5" t="s">
        <v>356</v>
      </c>
      <c r="H62" s="5" t="s">
        <v>32</v>
      </c>
      <c r="I62" s="5" t="s">
        <v>32</v>
      </c>
      <c r="J62" s="5" t="s">
        <v>53</v>
      </c>
      <c r="K62" s="5" t="s">
        <v>33</v>
      </c>
      <c r="L62" s="5" t="s">
        <v>357</v>
      </c>
      <c r="M62" s="5" t="s">
        <v>38</v>
      </c>
      <c r="N62" s="5" t="s">
        <v>38</v>
      </c>
      <c r="O62" s="5" t="s">
        <v>358</v>
      </c>
      <c r="P62" s="5"/>
      <c r="Q62" s="5"/>
      <c r="R62" s="5"/>
      <c r="S62" s="5"/>
      <c r="T62" s="5"/>
      <c r="U62" s="5">
        <v>24000</v>
      </c>
      <c r="V62" s="5">
        <v>2000</v>
      </c>
      <c r="W62" s="5">
        <v>0</v>
      </c>
      <c r="X62" s="5"/>
      <c r="Y62" s="6">
        <v>43090</v>
      </c>
      <c r="Z62" s="5" t="s">
        <v>40</v>
      </c>
      <c r="AA62" s="5" t="s">
        <v>359</v>
      </c>
      <c r="AB62" s="5">
        <v>0</v>
      </c>
    </row>
    <row r="63" spans="1:28" ht="27.95" x14ac:dyDescent="0.3">
      <c r="A63" s="3">
        <v>57</v>
      </c>
      <c r="B63" s="3" t="str">
        <f>"202000117203"</f>
        <v>202000117203</v>
      </c>
      <c r="C63" s="3" t="str">
        <f>"15731"</f>
        <v>15731</v>
      </c>
      <c r="D63" s="3" t="s">
        <v>360</v>
      </c>
      <c r="E63" s="3">
        <v>20100079179</v>
      </c>
      <c r="F63" s="3" t="s">
        <v>361</v>
      </c>
      <c r="G63" s="3" t="s">
        <v>362</v>
      </c>
      <c r="H63" s="3" t="s">
        <v>32</v>
      </c>
      <c r="I63" s="3" t="s">
        <v>32</v>
      </c>
      <c r="J63" s="3" t="s">
        <v>363</v>
      </c>
      <c r="K63" s="3" t="s">
        <v>33</v>
      </c>
      <c r="L63" s="3" t="s">
        <v>54</v>
      </c>
      <c r="M63" s="3" t="s">
        <v>364</v>
      </c>
      <c r="N63" s="3" t="s">
        <v>93</v>
      </c>
      <c r="O63" s="3" t="s">
        <v>158</v>
      </c>
      <c r="P63" s="3" t="s">
        <v>254</v>
      </c>
      <c r="Q63" s="3" t="s">
        <v>365</v>
      </c>
      <c r="R63" s="3"/>
      <c r="S63" s="3"/>
      <c r="T63" s="3"/>
      <c r="U63" s="3">
        <v>30000</v>
      </c>
      <c r="V63" s="3">
        <v>3000</v>
      </c>
      <c r="W63" s="3">
        <v>2000</v>
      </c>
      <c r="X63" s="3"/>
      <c r="Y63" s="4">
        <v>44095</v>
      </c>
      <c r="Z63" s="3" t="s">
        <v>40</v>
      </c>
      <c r="AA63" s="3" t="s">
        <v>366</v>
      </c>
      <c r="AB63" s="3">
        <v>0</v>
      </c>
    </row>
    <row r="64" spans="1:28" ht="27.95" x14ac:dyDescent="0.3">
      <c r="A64" s="5">
        <v>58</v>
      </c>
      <c r="B64" s="5" t="str">
        <f>"201800040112"</f>
        <v>201800040112</v>
      </c>
      <c r="C64" s="5" t="str">
        <f>"9616"</f>
        <v>9616</v>
      </c>
      <c r="D64" s="5" t="s">
        <v>367</v>
      </c>
      <c r="E64" s="5">
        <v>20511995028</v>
      </c>
      <c r="F64" s="5" t="s">
        <v>30</v>
      </c>
      <c r="G64" s="5" t="s">
        <v>368</v>
      </c>
      <c r="H64" s="5" t="s">
        <v>32</v>
      </c>
      <c r="I64" s="5" t="s">
        <v>32</v>
      </c>
      <c r="J64" s="5" t="s">
        <v>369</v>
      </c>
      <c r="K64" s="5" t="s">
        <v>33</v>
      </c>
      <c r="L64" s="5" t="s">
        <v>75</v>
      </c>
      <c r="M64" s="5" t="s">
        <v>84</v>
      </c>
      <c r="N64" s="5" t="s">
        <v>93</v>
      </c>
      <c r="O64" s="5" t="s">
        <v>91</v>
      </c>
      <c r="P64" s="5"/>
      <c r="Q64" s="5"/>
      <c r="R64" s="5"/>
      <c r="S64" s="5"/>
      <c r="T64" s="5"/>
      <c r="U64" s="5">
        <v>12000</v>
      </c>
      <c r="V64" s="5">
        <v>3200</v>
      </c>
      <c r="W64" s="5">
        <v>3875</v>
      </c>
      <c r="X64" s="5">
        <v>1191</v>
      </c>
      <c r="Y64" s="6">
        <v>43172</v>
      </c>
      <c r="Z64" s="5" t="s">
        <v>40</v>
      </c>
      <c r="AA64" s="5" t="s">
        <v>41</v>
      </c>
      <c r="AB64" s="5">
        <v>0</v>
      </c>
    </row>
    <row r="65" spans="1:28" ht="41.95" x14ac:dyDescent="0.3">
      <c r="A65" s="3">
        <v>59</v>
      </c>
      <c r="B65" s="3" t="str">
        <f>"201500056783"</f>
        <v>201500056783</v>
      </c>
      <c r="C65" s="3" t="str">
        <f>"43730"</f>
        <v>43730</v>
      </c>
      <c r="D65" s="3" t="s">
        <v>370</v>
      </c>
      <c r="E65" s="3">
        <v>20348303636</v>
      </c>
      <c r="F65" s="3" t="s">
        <v>252</v>
      </c>
      <c r="G65" s="3" t="s">
        <v>371</v>
      </c>
      <c r="H65" s="3" t="s">
        <v>197</v>
      </c>
      <c r="I65" s="3" t="s">
        <v>197</v>
      </c>
      <c r="J65" s="3" t="s">
        <v>198</v>
      </c>
      <c r="K65" s="3" t="s">
        <v>33</v>
      </c>
      <c r="L65" s="3" t="s">
        <v>94</v>
      </c>
      <c r="M65" s="3" t="s">
        <v>92</v>
      </c>
      <c r="N65" s="3" t="s">
        <v>93</v>
      </c>
      <c r="O65" s="3" t="s">
        <v>91</v>
      </c>
      <c r="P65" s="3" t="s">
        <v>91</v>
      </c>
      <c r="Q65" s="3" t="s">
        <v>48</v>
      </c>
      <c r="R65" s="3"/>
      <c r="S65" s="3"/>
      <c r="T65" s="3"/>
      <c r="U65" s="3">
        <v>25000</v>
      </c>
      <c r="V65" s="3">
        <v>2500</v>
      </c>
      <c r="W65" s="3">
        <v>4000</v>
      </c>
      <c r="X65" s="3"/>
      <c r="Y65" s="4">
        <v>42144</v>
      </c>
      <c r="Z65" s="3" t="s">
        <v>40</v>
      </c>
      <c r="AA65" s="3" t="s">
        <v>255</v>
      </c>
      <c r="AB65" s="3">
        <v>0</v>
      </c>
    </row>
    <row r="66" spans="1:28" x14ac:dyDescent="0.3">
      <c r="A66" s="5">
        <v>60</v>
      </c>
      <c r="B66" s="5" t="str">
        <f>"201700175922"</f>
        <v>201700175922</v>
      </c>
      <c r="C66" s="5" t="str">
        <f>"18440"</f>
        <v>18440</v>
      </c>
      <c r="D66" s="5" t="s">
        <v>372</v>
      </c>
      <c r="E66" s="5">
        <v>20430857861</v>
      </c>
      <c r="F66" s="5" t="s">
        <v>373</v>
      </c>
      <c r="G66" s="5" t="s">
        <v>374</v>
      </c>
      <c r="H66" s="5" t="s">
        <v>32</v>
      </c>
      <c r="I66" s="5" t="s">
        <v>32</v>
      </c>
      <c r="J66" s="5" t="s">
        <v>65</v>
      </c>
      <c r="K66" s="5" t="s">
        <v>33</v>
      </c>
      <c r="L66" s="5" t="s">
        <v>75</v>
      </c>
      <c r="M66" s="5" t="s">
        <v>92</v>
      </c>
      <c r="N66" s="5" t="s">
        <v>375</v>
      </c>
      <c r="O66" s="5" t="s">
        <v>68</v>
      </c>
      <c r="P66" s="5" t="s">
        <v>124</v>
      </c>
      <c r="Q66" s="5" t="s">
        <v>158</v>
      </c>
      <c r="R66" s="5" t="s">
        <v>376</v>
      </c>
      <c r="S66" s="5"/>
      <c r="T66" s="5"/>
      <c r="U66" s="5">
        <v>39200</v>
      </c>
      <c r="V66" s="5">
        <v>3200</v>
      </c>
      <c r="W66" s="5">
        <v>2000</v>
      </c>
      <c r="X66" s="5">
        <v>1466</v>
      </c>
      <c r="Y66" s="6">
        <v>43032</v>
      </c>
      <c r="Z66" s="5" t="s">
        <v>40</v>
      </c>
      <c r="AA66" s="5" t="s">
        <v>377</v>
      </c>
      <c r="AB66" s="5">
        <v>0</v>
      </c>
    </row>
    <row r="67" spans="1:28" x14ac:dyDescent="0.3">
      <c r="A67" s="3">
        <v>61</v>
      </c>
      <c r="B67" s="3" t="str">
        <f>"201900014922"</f>
        <v>201900014922</v>
      </c>
      <c r="C67" s="3" t="str">
        <f>"9087"</f>
        <v>9087</v>
      </c>
      <c r="D67" s="3" t="s">
        <v>378</v>
      </c>
      <c r="E67" s="3">
        <v>20127765279</v>
      </c>
      <c r="F67" s="3" t="s">
        <v>104</v>
      </c>
      <c r="G67" s="3" t="s">
        <v>379</v>
      </c>
      <c r="H67" s="3" t="s">
        <v>32</v>
      </c>
      <c r="I67" s="3" t="s">
        <v>32</v>
      </c>
      <c r="J67" s="3" t="s">
        <v>152</v>
      </c>
      <c r="K67" s="3" t="s">
        <v>33</v>
      </c>
      <c r="L67" s="3" t="s">
        <v>67</v>
      </c>
      <c r="M67" s="3" t="s">
        <v>380</v>
      </c>
      <c r="N67" s="3" t="s">
        <v>108</v>
      </c>
      <c r="O67" s="3" t="s">
        <v>36</v>
      </c>
      <c r="P67" s="3" t="s">
        <v>35</v>
      </c>
      <c r="Q67" s="3"/>
      <c r="R67" s="3"/>
      <c r="S67" s="3"/>
      <c r="T67" s="3"/>
      <c r="U67" s="3">
        <v>38000</v>
      </c>
      <c r="V67" s="3">
        <v>2500</v>
      </c>
      <c r="W67" s="3">
        <v>2500</v>
      </c>
      <c r="X67" s="3"/>
      <c r="Y67" s="4">
        <v>43495</v>
      </c>
      <c r="Z67" s="3" t="s">
        <v>40</v>
      </c>
      <c r="AA67" s="3" t="s">
        <v>109</v>
      </c>
      <c r="AB67" s="3">
        <v>0</v>
      </c>
    </row>
    <row r="68" spans="1:28" ht="41.95" x14ac:dyDescent="0.3">
      <c r="A68" s="5">
        <v>62</v>
      </c>
      <c r="B68" s="5" t="str">
        <f>"201700201293"</f>
        <v>201700201293</v>
      </c>
      <c r="C68" s="5" t="str">
        <f>"63899"</f>
        <v>63899</v>
      </c>
      <c r="D68" s="5" t="s">
        <v>381</v>
      </c>
      <c r="E68" s="5">
        <v>20517767396</v>
      </c>
      <c r="F68" s="5" t="s">
        <v>43</v>
      </c>
      <c r="G68" s="5" t="s">
        <v>382</v>
      </c>
      <c r="H68" s="5" t="s">
        <v>32</v>
      </c>
      <c r="I68" s="5" t="s">
        <v>32</v>
      </c>
      <c r="J68" s="5" t="s">
        <v>383</v>
      </c>
      <c r="K68" s="5" t="s">
        <v>33</v>
      </c>
      <c r="L68" s="5" t="s">
        <v>46</v>
      </c>
      <c r="M68" s="5" t="s">
        <v>384</v>
      </c>
      <c r="N68" s="5"/>
      <c r="O68" s="5"/>
      <c r="P68" s="5"/>
      <c r="Q68" s="5"/>
      <c r="R68" s="5"/>
      <c r="S68" s="5"/>
      <c r="T68" s="5"/>
      <c r="U68" s="5">
        <v>5000</v>
      </c>
      <c r="V68" s="5">
        <v>2500</v>
      </c>
      <c r="W68" s="5">
        <v>1250</v>
      </c>
      <c r="X68" s="5">
        <v>1200</v>
      </c>
      <c r="Y68" s="6">
        <v>43074</v>
      </c>
      <c r="Z68" s="5" t="s">
        <v>40</v>
      </c>
      <c r="AA68" s="5" t="s">
        <v>49</v>
      </c>
      <c r="AB68" s="5">
        <v>120</v>
      </c>
    </row>
    <row r="69" spans="1:28" ht="27.95" x14ac:dyDescent="0.3">
      <c r="A69" s="3">
        <v>63</v>
      </c>
      <c r="B69" s="3" t="str">
        <f>"201900173349"</f>
        <v>201900173349</v>
      </c>
      <c r="C69" s="3" t="str">
        <f>"85534"</f>
        <v>85534</v>
      </c>
      <c r="D69" s="3" t="s">
        <v>385</v>
      </c>
      <c r="E69" s="3">
        <v>20515528734</v>
      </c>
      <c r="F69" s="3" t="s">
        <v>386</v>
      </c>
      <c r="G69" s="3" t="s">
        <v>387</v>
      </c>
      <c r="H69" s="3" t="s">
        <v>32</v>
      </c>
      <c r="I69" s="3" t="s">
        <v>32</v>
      </c>
      <c r="J69" s="3" t="s">
        <v>128</v>
      </c>
      <c r="K69" s="3" t="s">
        <v>33</v>
      </c>
      <c r="L69" s="3" t="s">
        <v>75</v>
      </c>
      <c r="M69" s="3" t="s">
        <v>55</v>
      </c>
      <c r="N69" s="3" t="s">
        <v>388</v>
      </c>
      <c r="O69" s="3"/>
      <c r="P69" s="3"/>
      <c r="Q69" s="3"/>
      <c r="R69" s="3"/>
      <c r="S69" s="3"/>
      <c r="T69" s="3"/>
      <c r="U69" s="3">
        <v>12000</v>
      </c>
      <c r="V69" s="3">
        <v>3200</v>
      </c>
      <c r="W69" s="3">
        <v>30</v>
      </c>
      <c r="X69" s="3"/>
      <c r="Y69" s="4">
        <v>43768</v>
      </c>
      <c r="Z69" s="3" t="s">
        <v>40</v>
      </c>
      <c r="AA69" s="3" t="s">
        <v>389</v>
      </c>
      <c r="AB69" s="3">
        <v>0</v>
      </c>
    </row>
    <row r="70" spans="1:28" ht="27.95" x14ac:dyDescent="0.3">
      <c r="A70" s="5">
        <v>64</v>
      </c>
      <c r="B70" s="5" t="str">
        <f>"201800009105"</f>
        <v>201800009105</v>
      </c>
      <c r="C70" s="5" t="str">
        <f>"9526"</f>
        <v>9526</v>
      </c>
      <c r="D70" s="5" t="s">
        <v>390</v>
      </c>
      <c r="E70" s="5">
        <v>20127765279</v>
      </c>
      <c r="F70" s="5" t="s">
        <v>104</v>
      </c>
      <c r="G70" s="5" t="s">
        <v>391</v>
      </c>
      <c r="H70" s="5" t="s">
        <v>32</v>
      </c>
      <c r="I70" s="5" t="s">
        <v>32</v>
      </c>
      <c r="J70" s="5" t="s">
        <v>90</v>
      </c>
      <c r="K70" s="5" t="s">
        <v>33</v>
      </c>
      <c r="L70" s="5" t="s">
        <v>54</v>
      </c>
      <c r="M70" s="5" t="s">
        <v>278</v>
      </c>
      <c r="N70" s="5" t="s">
        <v>36</v>
      </c>
      <c r="O70" s="5" t="s">
        <v>38</v>
      </c>
      <c r="P70" s="5" t="s">
        <v>358</v>
      </c>
      <c r="Q70" s="5"/>
      <c r="R70" s="5"/>
      <c r="S70" s="5"/>
      <c r="T70" s="5"/>
      <c r="U70" s="5">
        <v>27000</v>
      </c>
      <c r="V70" s="5">
        <v>3000</v>
      </c>
      <c r="W70" s="5">
        <v>2000</v>
      </c>
      <c r="X70" s="5">
        <v>1389</v>
      </c>
      <c r="Y70" s="6">
        <v>43123</v>
      </c>
      <c r="Z70" s="5" t="s">
        <v>40</v>
      </c>
      <c r="AA70" s="5" t="s">
        <v>203</v>
      </c>
      <c r="AB70" s="5">
        <v>240</v>
      </c>
    </row>
    <row r="71" spans="1:28" ht="27.95" x14ac:dyDescent="0.3">
      <c r="A71" s="3">
        <v>65</v>
      </c>
      <c r="B71" s="3" t="str">
        <f>"201900173722"</f>
        <v>201900173722</v>
      </c>
      <c r="C71" s="3" t="str">
        <f>"21397"</f>
        <v>21397</v>
      </c>
      <c r="D71" s="3" t="s">
        <v>392</v>
      </c>
      <c r="E71" s="3">
        <v>10090647879</v>
      </c>
      <c r="F71" s="3" t="s">
        <v>393</v>
      </c>
      <c r="G71" s="3" t="s">
        <v>394</v>
      </c>
      <c r="H71" s="3" t="s">
        <v>32</v>
      </c>
      <c r="I71" s="3" t="s">
        <v>32</v>
      </c>
      <c r="J71" s="3" t="s">
        <v>74</v>
      </c>
      <c r="K71" s="3" t="s">
        <v>33</v>
      </c>
      <c r="L71" s="3" t="s">
        <v>54</v>
      </c>
      <c r="M71" s="3" t="s">
        <v>395</v>
      </c>
      <c r="N71" s="3" t="s">
        <v>92</v>
      </c>
      <c r="O71" s="3" t="s">
        <v>396</v>
      </c>
      <c r="P71" s="3" t="s">
        <v>364</v>
      </c>
      <c r="Q71" s="3" t="s">
        <v>347</v>
      </c>
      <c r="R71" s="3"/>
      <c r="S71" s="3"/>
      <c r="T71" s="3"/>
      <c r="U71" s="3">
        <v>33000</v>
      </c>
      <c r="V71" s="3">
        <v>3000</v>
      </c>
      <c r="W71" s="3">
        <v>2500</v>
      </c>
      <c r="X71" s="3"/>
      <c r="Y71" s="4">
        <v>43764</v>
      </c>
      <c r="Z71" s="3" t="s">
        <v>40</v>
      </c>
      <c r="AA71" s="3" t="s">
        <v>393</v>
      </c>
      <c r="AB71" s="3">
        <v>0</v>
      </c>
    </row>
    <row r="72" spans="1:28" ht="27.95" x14ac:dyDescent="0.3">
      <c r="A72" s="5">
        <v>66</v>
      </c>
      <c r="B72" s="5" t="str">
        <f>"201800050921"</f>
        <v>201800050921</v>
      </c>
      <c r="C72" s="5" t="str">
        <f>"19953"</f>
        <v>19953</v>
      </c>
      <c r="D72" s="5" t="s">
        <v>397</v>
      </c>
      <c r="E72" s="5">
        <v>20511995028</v>
      </c>
      <c r="F72" s="5" t="s">
        <v>30</v>
      </c>
      <c r="G72" s="5" t="s">
        <v>398</v>
      </c>
      <c r="H72" s="5" t="s">
        <v>32</v>
      </c>
      <c r="I72" s="5" t="s">
        <v>32</v>
      </c>
      <c r="J72" s="5" t="s">
        <v>65</v>
      </c>
      <c r="K72" s="5" t="s">
        <v>33</v>
      </c>
      <c r="L72" s="5" t="s">
        <v>399</v>
      </c>
      <c r="M72" s="5" t="s">
        <v>107</v>
      </c>
      <c r="N72" s="5" t="s">
        <v>400</v>
      </c>
      <c r="O72" s="5" t="s">
        <v>38</v>
      </c>
      <c r="P72" s="5" t="s">
        <v>39</v>
      </c>
      <c r="Q72" s="5" t="s">
        <v>287</v>
      </c>
      <c r="R72" s="5"/>
      <c r="S72" s="5"/>
      <c r="T72" s="5"/>
      <c r="U72" s="5">
        <v>28000</v>
      </c>
      <c r="V72" s="5">
        <v>4000</v>
      </c>
      <c r="W72" s="5">
        <v>1250</v>
      </c>
      <c r="X72" s="5">
        <v>989</v>
      </c>
      <c r="Y72" s="6">
        <v>43192</v>
      </c>
      <c r="Z72" s="5" t="s">
        <v>40</v>
      </c>
      <c r="AA72" s="5" t="s">
        <v>41</v>
      </c>
      <c r="AB72" s="5">
        <v>0</v>
      </c>
    </row>
    <row r="73" spans="1:28" ht="41.95" x14ac:dyDescent="0.3">
      <c r="A73" s="3">
        <v>67</v>
      </c>
      <c r="B73" s="3" t="str">
        <f>"202000037650"</f>
        <v>202000037650</v>
      </c>
      <c r="C73" s="3" t="str">
        <f>"34178"</f>
        <v>34178</v>
      </c>
      <c r="D73" s="3" t="s">
        <v>401</v>
      </c>
      <c r="E73" s="3">
        <v>20517710955</v>
      </c>
      <c r="F73" s="3" t="s">
        <v>402</v>
      </c>
      <c r="G73" s="3" t="s">
        <v>403</v>
      </c>
      <c r="H73" s="3" t="s">
        <v>32</v>
      </c>
      <c r="I73" s="3" t="s">
        <v>32</v>
      </c>
      <c r="J73" s="3" t="s">
        <v>157</v>
      </c>
      <c r="K73" s="3" t="s">
        <v>33</v>
      </c>
      <c r="L73" s="3" t="s">
        <v>46</v>
      </c>
      <c r="M73" s="3" t="s">
        <v>404</v>
      </c>
      <c r="N73" s="3" t="s">
        <v>68</v>
      </c>
      <c r="O73" s="3" t="s">
        <v>55</v>
      </c>
      <c r="P73" s="3" t="s">
        <v>405</v>
      </c>
      <c r="Q73" s="3" t="s">
        <v>406</v>
      </c>
      <c r="R73" s="3" t="s">
        <v>407</v>
      </c>
      <c r="S73" s="3"/>
      <c r="T73" s="3"/>
      <c r="U73" s="3">
        <v>29100</v>
      </c>
      <c r="V73" s="3">
        <v>2500</v>
      </c>
      <c r="W73" s="3">
        <v>3250</v>
      </c>
      <c r="X73" s="3">
        <v>989</v>
      </c>
      <c r="Y73" s="4">
        <v>43894</v>
      </c>
      <c r="Z73" s="3" t="s">
        <v>40</v>
      </c>
      <c r="AA73" s="3" t="s">
        <v>408</v>
      </c>
      <c r="AB73" s="3">
        <v>0</v>
      </c>
    </row>
    <row r="74" spans="1:28" ht="27.95" x14ac:dyDescent="0.3">
      <c r="A74" s="5">
        <v>68</v>
      </c>
      <c r="B74" s="5" t="str">
        <f>"201900036530"</f>
        <v>201900036530</v>
      </c>
      <c r="C74" s="5" t="str">
        <f>"108688"</f>
        <v>108688</v>
      </c>
      <c r="D74" s="5" t="s">
        <v>409</v>
      </c>
      <c r="E74" s="5">
        <v>20550287961</v>
      </c>
      <c r="F74" s="5" t="s">
        <v>410</v>
      </c>
      <c r="G74" s="5" t="s">
        <v>411</v>
      </c>
      <c r="H74" s="5" t="s">
        <v>32</v>
      </c>
      <c r="I74" s="5" t="s">
        <v>32</v>
      </c>
      <c r="J74" s="5" t="s">
        <v>53</v>
      </c>
      <c r="K74" s="5" t="s">
        <v>33</v>
      </c>
      <c r="L74" s="5" t="s">
        <v>412</v>
      </c>
      <c r="M74" s="5" t="s">
        <v>413</v>
      </c>
      <c r="N74" s="5"/>
      <c r="O74" s="5"/>
      <c r="P74" s="5"/>
      <c r="Q74" s="5"/>
      <c r="R74" s="5"/>
      <c r="S74" s="5"/>
      <c r="T74" s="5"/>
      <c r="U74" s="5">
        <v>14000</v>
      </c>
      <c r="V74" s="5">
        <v>3200</v>
      </c>
      <c r="W74" s="5">
        <v>1200</v>
      </c>
      <c r="X74" s="5"/>
      <c r="Y74" s="6">
        <v>43534</v>
      </c>
      <c r="Z74" s="5" t="s">
        <v>40</v>
      </c>
      <c r="AA74" s="5" t="s">
        <v>414</v>
      </c>
      <c r="AB74" s="5">
        <v>0</v>
      </c>
    </row>
    <row r="75" spans="1:28" ht="27.95" x14ac:dyDescent="0.3">
      <c r="A75" s="3">
        <v>69</v>
      </c>
      <c r="B75" s="3" t="str">
        <f>"201900062343"</f>
        <v>201900062343</v>
      </c>
      <c r="C75" s="3" t="str">
        <f>"21096"</f>
        <v>21096</v>
      </c>
      <c r="D75" s="3" t="s">
        <v>415</v>
      </c>
      <c r="E75" s="3">
        <v>20550418658</v>
      </c>
      <c r="F75" s="3" t="s">
        <v>416</v>
      </c>
      <c r="G75" s="3" t="s">
        <v>417</v>
      </c>
      <c r="H75" s="3" t="s">
        <v>32</v>
      </c>
      <c r="I75" s="3" t="s">
        <v>32</v>
      </c>
      <c r="J75" s="3" t="s">
        <v>250</v>
      </c>
      <c r="K75" s="3" t="s">
        <v>33</v>
      </c>
      <c r="L75" s="3" t="s">
        <v>399</v>
      </c>
      <c r="M75" s="3" t="s">
        <v>246</v>
      </c>
      <c r="N75" s="3" t="s">
        <v>92</v>
      </c>
      <c r="O75" s="3" t="s">
        <v>36</v>
      </c>
      <c r="P75" s="3" t="s">
        <v>364</v>
      </c>
      <c r="Q75" s="3"/>
      <c r="R75" s="3"/>
      <c r="S75" s="3"/>
      <c r="T75" s="3"/>
      <c r="U75" s="3">
        <v>28000</v>
      </c>
      <c r="V75" s="3">
        <v>4000</v>
      </c>
      <c r="W75" s="3">
        <v>3900</v>
      </c>
      <c r="X75" s="3">
        <v>1401</v>
      </c>
      <c r="Y75" s="4">
        <v>43582</v>
      </c>
      <c r="Z75" s="3" t="s">
        <v>40</v>
      </c>
      <c r="AA75" s="3" t="s">
        <v>418</v>
      </c>
      <c r="AB75" s="3">
        <v>0</v>
      </c>
    </row>
    <row r="76" spans="1:28" ht="27.95" x14ac:dyDescent="0.3">
      <c r="A76" s="5">
        <v>70</v>
      </c>
      <c r="B76" s="5" t="str">
        <f>"201800010872"</f>
        <v>201800010872</v>
      </c>
      <c r="C76" s="5" t="str">
        <f>"9518"</f>
        <v>9518</v>
      </c>
      <c r="D76" s="5" t="s">
        <v>419</v>
      </c>
      <c r="E76" s="5">
        <v>20127765279</v>
      </c>
      <c r="F76" s="5" t="s">
        <v>104</v>
      </c>
      <c r="G76" s="5" t="s">
        <v>420</v>
      </c>
      <c r="H76" s="5" t="s">
        <v>32</v>
      </c>
      <c r="I76" s="5" t="s">
        <v>32</v>
      </c>
      <c r="J76" s="5" t="s">
        <v>65</v>
      </c>
      <c r="K76" s="5" t="s">
        <v>33</v>
      </c>
      <c r="L76" s="5" t="s">
        <v>421</v>
      </c>
      <c r="M76" s="5" t="s">
        <v>422</v>
      </c>
      <c r="N76" s="5" t="s">
        <v>423</v>
      </c>
      <c r="O76" s="5" t="s">
        <v>48</v>
      </c>
      <c r="P76" s="5"/>
      <c r="Q76" s="5"/>
      <c r="R76" s="5"/>
      <c r="S76" s="5"/>
      <c r="T76" s="5"/>
      <c r="U76" s="5">
        <v>24719</v>
      </c>
      <c r="V76" s="5">
        <v>2500</v>
      </c>
      <c r="W76" s="5">
        <v>1250</v>
      </c>
      <c r="X76" s="5">
        <v>1080</v>
      </c>
      <c r="Y76" s="6">
        <v>43132</v>
      </c>
      <c r="Z76" s="5" t="s">
        <v>40</v>
      </c>
      <c r="AA76" s="5" t="s">
        <v>203</v>
      </c>
      <c r="AB76" s="5">
        <v>240</v>
      </c>
    </row>
    <row r="77" spans="1:28" x14ac:dyDescent="0.3">
      <c r="A77" s="3">
        <v>71</v>
      </c>
      <c r="B77" s="3" t="str">
        <f>"202000007535"</f>
        <v>202000007535</v>
      </c>
      <c r="C77" s="3" t="str">
        <f>"14715"</f>
        <v>14715</v>
      </c>
      <c r="D77" s="3" t="s">
        <v>424</v>
      </c>
      <c r="E77" s="3">
        <v>20348303636</v>
      </c>
      <c r="F77" s="3" t="s">
        <v>252</v>
      </c>
      <c r="G77" s="3" t="s">
        <v>425</v>
      </c>
      <c r="H77" s="3" t="s">
        <v>32</v>
      </c>
      <c r="I77" s="3" t="s">
        <v>32</v>
      </c>
      <c r="J77" s="3" t="s">
        <v>317</v>
      </c>
      <c r="K77" s="3" t="s">
        <v>33</v>
      </c>
      <c r="L77" s="3" t="s">
        <v>34</v>
      </c>
      <c r="M77" s="3" t="s">
        <v>91</v>
      </c>
      <c r="N77" s="3" t="s">
        <v>91</v>
      </c>
      <c r="O77" s="3" t="s">
        <v>93</v>
      </c>
      <c r="P77" s="3" t="s">
        <v>92</v>
      </c>
      <c r="Q77" s="3" t="s">
        <v>364</v>
      </c>
      <c r="R77" s="3"/>
      <c r="S77" s="3"/>
      <c r="T77" s="3"/>
      <c r="U77" s="3">
        <v>30000</v>
      </c>
      <c r="V77" s="3">
        <v>2000</v>
      </c>
      <c r="W77" s="3">
        <v>3200</v>
      </c>
      <c r="X77" s="3">
        <v>694</v>
      </c>
      <c r="Y77" s="4">
        <v>43848</v>
      </c>
      <c r="Z77" s="3" t="s">
        <v>40</v>
      </c>
      <c r="AA77" s="3" t="s">
        <v>255</v>
      </c>
      <c r="AB77" s="3">
        <v>0</v>
      </c>
    </row>
    <row r="78" spans="1:28" ht="27.95" x14ac:dyDescent="0.3">
      <c r="A78" s="5">
        <v>72</v>
      </c>
      <c r="B78" s="5" t="str">
        <f>"201800010871"</f>
        <v>201800010871</v>
      </c>
      <c r="C78" s="5" t="str">
        <f>"6880"</f>
        <v>6880</v>
      </c>
      <c r="D78" s="5" t="s">
        <v>426</v>
      </c>
      <c r="E78" s="5">
        <v>20127765279</v>
      </c>
      <c r="F78" s="5" t="s">
        <v>104</v>
      </c>
      <c r="G78" s="5" t="s">
        <v>427</v>
      </c>
      <c r="H78" s="5" t="s">
        <v>32</v>
      </c>
      <c r="I78" s="5" t="s">
        <v>32</v>
      </c>
      <c r="J78" s="5" t="s">
        <v>428</v>
      </c>
      <c r="K78" s="5" t="s">
        <v>33</v>
      </c>
      <c r="L78" s="5" t="s">
        <v>163</v>
      </c>
      <c r="M78" s="5" t="s">
        <v>57</v>
      </c>
      <c r="N78" s="5" t="s">
        <v>59</v>
      </c>
      <c r="O78" s="5" t="s">
        <v>68</v>
      </c>
      <c r="P78" s="5" t="s">
        <v>55</v>
      </c>
      <c r="Q78" s="5" t="s">
        <v>55</v>
      </c>
      <c r="R78" s="5"/>
      <c r="S78" s="5"/>
      <c r="T78" s="5"/>
      <c r="U78" s="5">
        <v>29000</v>
      </c>
      <c r="V78" s="5">
        <v>3000</v>
      </c>
      <c r="W78" s="5">
        <v>1250</v>
      </c>
      <c r="X78" s="5">
        <v>1080</v>
      </c>
      <c r="Y78" s="6">
        <v>43126</v>
      </c>
      <c r="Z78" s="5" t="s">
        <v>40</v>
      </c>
      <c r="AA78" s="5" t="s">
        <v>203</v>
      </c>
      <c r="AB78" s="5">
        <v>240</v>
      </c>
    </row>
    <row r="79" spans="1:28" ht="27.95" x14ac:dyDescent="0.3">
      <c r="A79" s="3">
        <v>73</v>
      </c>
      <c r="B79" s="3" t="str">
        <f>"202000091557"</f>
        <v>202000091557</v>
      </c>
      <c r="C79" s="3" t="str">
        <f>"83761"</f>
        <v>83761</v>
      </c>
      <c r="D79" s="3" t="s">
        <v>429</v>
      </c>
      <c r="E79" s="3">
        <v>20604302863</v>
      </c>
      <c r="F79" s="3" t="s">
        <v>430</v>
      </c>
      <c r="G79" s="3" t="s">
        <v>431</v>
      </c>
      <c r="H79" s="3" t="s">
        <v>32</v>
      </c>
      <c r="I79" s="3" t="s">
        <v>32</v>
      </c>
      <c r="J79" s="3" t="s">
        <v>157</v>
      </c>
      <c r="K79" s="3" t="s">
        <v>33</v>
      </c>
      <c r="L79" s="3" t="s">
        <v>66</v>
      </c>
      <c r="M79" s="3" t="s">
        <v>55</v>
      </c>
      <c r="N79" s="3" t="s">
        <v>432</v>
      </c>
      <c r="O79" s="3" t="s">
        <v>433</v>
      </c>
      <c r="P79" s="3" t="s">
        <v>434</v>
      </c>
      <c r="Q79" s="3" t="s">
        <v>435</v>
      </c>
      <c r="R79" s="3" t="s">
        <v>435</v>
      </c>
      <c r="S79" s="3"/>
      <c r="T79" s="3"/>
      <c r="U79" s="3">
        <v>18877</v>
      </c>
      <c r="V79" s="3">
        <v>4500</v>
      </c>
      <c r="W79" s="3">
        <v>1200</v>
      </c>
      <c r="X79" s="3"/>
      <c r="Y79" s="4">
        <v>44052</v>
      </c>
      <c r="Z79" s="3" t="s">
        <v>40</v>
      </c>
      <c r="AA79" s="3" t="s">
        <v>436</v>
      </c>
      <c r="AB79" s="3">
        <v>0</v>
      </c>
    </row>
    <row r="80" spans="1:28" ht="27.95" x14ac:dyDescent="0.3">
      <c r="A80" s="5">
        <v>74</v>
      </c>
      <c r="B80" s="5" t="str">
        <f>"201800011934"</f>
        <v>201800011934</v>
      </c>
      <c r="C80" s="5" t="str">
        <f>"21052"</f>
        <v>21052</v>
      </c>
      <c r="D80" s="5" t="s">
        <v>437</v>
      </c>
      <c r="E80" s="5">
        <v>20127765279</v>
      </c>
      <c r="F80" s="5" t="s">
        <v>104</v>
      </c>
      <c r="G80" s="5" t="s">
        <v>438</v>
      </c>
      <c r="H80" s="5" t="s">
        <v>32</v>
      </c>
      <c r="I80" s="5" t="s">
        <v>32</v>
      </c>
      <c r="J80" s="5" t="s">
        <v>32</v>
      </c>
      <c r="K80" s="5" t="s">
        <v>33</v>
      </c>
      <c r="L80" s="5" t="s">
        <v>46</v>
      </c>
      <c r="M80" s="5" t="s">
        <v>380</v>
      </c>
      <c r="N80" s="5" t="s">
        <v>38</v>
      </c>
      <c r="O80" s="5" t="s">
        <v>37</v>
      </c>
      <c r="P80" s="5" t="s">
        <v>36</v>
      </c>
      <c r="Q80" s="5" t="s">
        <v>439</v>
      </c>
      <c r="R80" s="5"/>
      <c r="S80" s="5"/>
      <c r="T80" s="5"/>
      <c r="U80" s="5">
        <v>40000</v>
      </c>
      <c r="V80" s="5">
        <v>2500</v>
      </c>
      <c r="W80" s="5">
        <v>1250</v>
      </c>
      <c r="X80" s="5">
        <v>1500</v>
      </c>
      <c r="Y80" s="6">
        <v>43127</v>
      </c>
      <c r="Z80" s="5" t="s">
        <v>40</v>
      </c>
      <c r="AA80" s="5" t="s">
        <v>203</v>
      </c>
      <c r="AB80" s="5">
        <v>240</v>
      </c>
    </row>
    <row r="81" spans="1:28" ht="27.95" x14ac:dyDescent="0.3">
      <c r="A81" s="3">
        <v>75</v>
      </c>
      <c r="B81" s="3" t="str">
        <f>"201800009119"</f>
        <v>201800009119</v>
      </c>
      <c r="C81" s="3" t="str">
        <f>"14646"</f>
        <v>14646</v>
      </c>
      <c r="D81" s="3" t="s">
        <v>440</v>
      </c>
      <c r="E81" s="3">
        <v>20127765279</v>
      </c>
      <c r="F81" s="3" t="s">
        <v>104</v>
      </c>
      <c r="G81" s="3" t="s">
        <v>441</v>
      </c>
      <c r="H81" s="3" t="s">
        <v>32</v>
      </c>
      <c r="I81" s="3" t="s">
        <v>32</v>
      </c>
      <c r="J81" s="3" t="s">
        <v>442</v>
      </c>
      <c r="K81" s="3" t="s">
        <v>33</v>
      </c>
      <c r="L81" s="3" t="s">
        <v>92</v>
      </c>
      <c r="M81" s="3" t="s">
        <v>443</v>
      </c>
      <c r="N81" s="3" t="s">
        <v>91</v>
      </c>
      <c r="O81" s="3" t="s">
        <v>94</v>
      </c>
      <c r="P81" s="3" t="s">
        <v>60</v>
      </c>
      <c r="Q81" s="3"/>
      <c r="R81" s="3"/>
      <c r="S81" s="3"/>
      <c r="T81" s="3"/>
      <c r="U81" s="3">
        <v>20000</v>
      </c>
      <c r="V81" s="3">
        <v>3000</v>
      </c>
      <c r="W81" s="3">
        <v>2000</v>
      </c>
      <c r="X81" s="3">
        <v>964</v>
      </c>
      <c r="Y81" s="4">
        <v>43123</v>
      </c>
      <c r="Z81" s="3" t="s">
        <v>40</v>
      </c>
      <c r="AA81" s="3" t="s">
        <v>203</v>
      </c>
      <c r="AB81" s="3">
        <v>240</v>
      </c>
    </row>
    <row r="82" spans="1:28" ht="27.95" x14ac:dyDescent="0.3">
      <c r="A82" s="5">
        <v>76</v>
      </c>
      <c r="B82" s="5" t="str">
        <f>"202000009055"</f>
        <v>202000009055</v>
      </c>
      <c r="C82" s="5" t="str">
        <f>"117443"</f>
        <v>117443</v>
      </c>
      <c r="D82" s="5" t="s">
        <v>444</v>
      </c>
      <c r="E82" s="5">
        <v>20506151547</v>
      </c>
      <c r="F82" s="5" t="s">
        <v>213</v>
      </c>
      <c r="G82" s="5" t="s">
        <v>445</v>
      </c>
      <c r="H82" s="5" t="s">
        <v>197</v>
      </c>
      <c r="I82" s="5" t="s">
        <v>197</v>
      </c>
      <c r="J82" s="5" t="s">
        <v>198</v>
      </c>
      <c r="K82" s="5" t="s">
        <v>33</v>
      </c>
      <c r="L82" s="5" t="s">
        <v>123</v>
      </c>
      <c r="M82" s="5" t="s">
        <v>446</v>
      </c>
      <c r="N82" s="5" t="s">
        <v>447</v>
      </c>
      <c r="O82" s="5"/>
      <c r="P82" s="5"/>
      <c r="Q82" s="5"/>
      <c r="R82" s="5"/>
      <c r="S82" s="5"/>
      <c r="T82" s="5"/>
      <c r="U82" s="5">
        <v>12000</v>
      </c>
      <c r="V82" s="5">
        <v>3500</v>
      </c>
      <c r="W82" s="5">
        <v>0</v>
      </c>
      <c r="X82" s="5"/>
      <c r="Y82" s="6">
        <v>43854</v>
      </c>
      <c r="Z82" s="5" t="s">
        <v>40</v>
      </c>
      <c r="AA82" s="5" t="s">
        <v>139</v>
      </c>
      <c r="AB82" s="5">
        <v>0</v>
      </c>
    </row>
    <row r="83" spans="1:28" ht="27.95" x14ac:dyDescent="0.3">
      <c r="A83" s="3">
        <v>77</v>
      </c>
      <c r="B83" s="3" t="str">
        <f>"201900087178"</f>
        <v>201900087178</v>
      </c>
      <c r="C83" s="3" t="str">
        <f>"16636"</f>
        <v>16636</v>
      </c>
      <c r="D83" s="3" t="s">
        <v>448</v>
      </c>
      <c r="E83" s="3">
        <v>20503840121</v>
      </c>
      <c r="F83" s="3" t="s">
        <v>72</v>
      </c>
      <c r="G83" s="3" t="s">
        <v>449</v>
      </c>
      <c r="H83" s="3" t="s">
        <v>197</v>
      </c>
      <c r="I83" s="3" t="s">
        <v>197</v>
      </c>
      <c r="J83" s="3" t="s">
        <v>198</v>
      </c>
      <c r="K83" s="3" t="s">
        <v>33</v>
      </c>
      <c r="L83" s="3" t="s">
        <v>450</v>
      </c>
      <c r="M83" s="3" t="s">
        <v>451</v>
      </c>
      <c r="N83" s="3" t="s">
        <v>452</v>
      </c>
      <c r="O83" s="3" t="s">
        <v>55</v>
      </c>
      <c r="P83" s="3" t="s">
        <v>55</v>
      </c>
      <c r="Q83" s="3" t="s">
        <v>82</v>
      </c>
      <c r="R83" s="3" t="s">
        <v>364</v>
      </c>
      <c r="S83" s="3" t="s">
        <v>364</v>
      </c>
      <c r="T83" s="3"/>
      <c r="U83" s="3">
        <v>47000</v>
      </c>
      <c r="V83" s="3">
        <v>2030</v>
      </c>
      <c r="W83" s="3">
        <v>3749</v>
      </c>
      <c r="X83" s="3">
        <v>1800</v>
      </c>
      <c r="Y83" s="4">
        <v>43623</v>
      </c>
      <c r="Z83" s="3" t="s">
        <v>40</v>
      </c>
      <c r="AA83" s="3" t="s">
        <v>247</v>
      </c>
      <c r="AB83" s="3">
        <v>0</v>
      </c>
    </row>
    <row r="84" spans="1:28" ht="27.95" x14ac:dyDescent="0.3">
      <c r="A84" s="5">
        <v>78</v>
      </c>
      <c r="B84" s="5" t="str">
        <f>"201900051998"</f>
        <v>201900051998</v>
      </c>
      <c r="C84" s="5" t="str">
        <f>"9372"</f>
        <v>9372</v>
      </c>
      <c r="D84" s="5" t="s">
        <v>453</v>
      </c>
      <c r="E84" s="5">
        <v>20255828887</v>
      </c>
      <c r="F84" s="5" t="s">
        <v>454</v>
      </c>
      <c r="G84" s="5" t="s">
        <v>455</v>
      </c>
      <c r="H84" s="5" t="s">
        <v>32</v>
      </c>
      <c r="I84" s="5" t="s">
        <v>32</v>
      </c>
      <c r="J84" s="5" t="s">
        <v>456</v>
      </c>
      <c r="K84" s="5" t="s">
        <v>33</v>
      </c>
      <c r="L84" s="5" t="s">
        <v>54</v>
      </c>
      <c r="M84" s="5" t="s">
        <v>457</v>
      </c>
      <c r="N84" s="5" t="s">
        <v>92</v>
      </c>
      <c r="O84" s="5" t="s">
        <v>91</v>
      </c>
      <c r="P84" s="5" t="s">
        <v>55</v>
      </c>
      <c r="Q84" s="5" t="s">
        <v>352</v>
      </c>
      <c r="R84" s="5"/>
      <c r="S84" s="5"/>
      <c r="T84" s="5"/>
      <c r="U84" s="5">
        <v>23500</v>
      </c>
      <c r="V84" s="5">
        <v>3000</v>
      </c>
      <c r="W84" s="5">
        <v>0</v>
      </c>
      <c r="X84" s="5"/>
      <c r="Y84" s="6">
        <v>43591</v>
      </c>
      <c r="Z84" s="5" t="s">
        <v>40</v>
      </c>
      <c r="AA84" s="5" t="s">
        <v>458</v>
      </c>
      <c r="AB84" s="5">
        <v>400</v>
      </c>
    </row>
    <row r="85" spans="1:28" ht="27.95" x14ac:dyDescent="0.3">
      <c r="A85" s="3">
        <v>79</v>
      </c>
      <c r="B85" s="3" t="str">
        <f>"201800010879"</f>
        <v>201800010879</v>
      </c>
      <c r="C85" s="3" t="str">
        <f>"33342"</f>
        <v>33342</v>
      </c>
      <c r="D85" s="3" t="s">
        <v>459</v>
      </c>
      <c r="E85" s="3">
        <v>20127765279</v>
      </c>
      <c r="F85" s="3" t="s">
        <v>104</v>
      </c>
      <c r="G85" s="3" t="s">
        <v>460</v>
      </c>
      <c r="H85" s="3" t="s">
        <v>32</v>
      </c>
      <c r="I85" s="3" t="s">
        <v>32</v>
      </c>
      <c r="J85" s="3" t="s">
        <v>65</v>
      </c>
      <c r="K85" s="3" t="s">
        <v>33</v>
      </c>
      <c r="L85" s="3" t="s">
        <v>461</v>
      </c>
      <c r="M85" s="3" t="s">
        <v>68</v>
      </c>
      <c r="N85" s="3" t="s">
        <v>462</v>
      </c>
      <c r="O85" s="3" t="s">
        <v>55</v>
      </c>
      <c r="P85" s="3" t="s">
        <v>39</v>
      </c>
      <c r="Q85" s="3"/>
      <c r="R85" s="3"/>
      <c r="S85" s="3"/>
      <c r="T85" s="3"/>
      <c r="U85" s="3">
        <v>22000</v>
      </c>
      <c r="V85" s="3">
        <v>5150</v>
      </c>
      <c r="W85" s="3">
        <v>2400</v>
      </c>
      <c r="X85" s="3">
        <v>1600</v>
      </c>
      <c r="Y85" s="4">
        <v>43132</v>
      </c>
      <c r="Z85" s="3" t="s">
        <v>40</v>
      </c>
      <c r="AA85" s="3" t="s">
        <v>463</v>
      </c>
      <c r="AB85" s="3">
        <v>480</v>
      </c>
    </row>
    <row r="86" spans="1:28" ht="27.95" x14ac:dyDescent="0.3">
      <c r="A86" s="5">
        <v>80</v>
      </c>
      <c r="B86" s="5" t="str">
        <f>"201700119415"</f>
        <v>201700119415</v>
      </c>
      <c r="C86" s="5" t="str">
        <f>"6837"</f>
        <v>6837</v>
      </c>
      <c r="D86" s="5" t="s">
        <v>464</v>
      </c>
      <c r="E86" s="5">
        <v>20177941591</v>
      </c>
      <c r="F86" s="5" t="s">
        <v>465</v>
      </c>
      <c r="G86" s="5" t="s">
        <v>466</v>
      </c>
      <c r="H86" s="5" t="s">
        <v>32</v>
      </c>
      <c r="I86" s="5" t="s">
        <v>32</v>
      </c>
      <c r="J86" s="5" t="s">
        <v>341</v>
      </c>
      <c r="K86" s="5" t="s">
        <v>33</v>
      </c>
      <c r="L86" s="5" t="s">
        <v>38</v>
      </c>
      <c r="M86" s="5" t="s">
        <v>36</v>
      </c>
      <c r="N86" s="5" t="s">
        <v>38</v>
      </c>
      <c r="O86" s="5" t="s">
        <v>278</v>
      </c>
      <c r="P86" s="5" t="s">
        <v>48</v>
      </c>
      <c r="Q86" s="5"/>
      <c r="R86" s="5"/>
      <c r="S86" s="5"/>
      <c r="T86" s="5"/>
      <c r="U86" s="5">
        <v>32000</v>
      </c>
      <c r="V86" s="5">
        <v>2500</v>
      </c>
      <c r="W86" s="5">
        <v>1000</v>
      </c>
      <c r="X86" s="5">
        <v>908</v>
      </c>
      <c r="Y86" s="6">
        <v>42948</v>
      </c>
      <c r="Z86" s="5" t="s">
        <v>40</v>
      </c>
      <c r="AA86" s="5" t="s">
        <v>467</v>
      </c>
      <c r="AB86" s="5">
        <v>0</v>
      </c>
    </row>
    <row r="87" spans="1:28" ht="27.95" x14ac:dyDescent="0.3">
      <c r="A87" s="3">
        <v>81</v>
      </c>
      <c r="B87" s="3" t="str">
        <f>"201900089031"</f>
        <v>201900089031</v>
      </c>
      <c r="C87" s="3" t="str">
        <f>"7868"</f>
        <v>7868</v>
      </c>
      <c r="D87" s="3" t="s">
        <v>468</v>
      </c>
      <c r="E87" s="3">
        <v>20503840121</v>
      </c>
      <c r="F87" s="3" t="s">
        <v>72</v>
      </c>
      <c r="G87" s="3" t="s">
        <v>469</v>
      </c>
      <c r="H87" s="3" t="s">
        <v>32</v>
      </c>
      <c r="I87" s="3" t="s">
        <v>32</v>
      </c>
      <c r="J87" s="3" t="s">
        <v>128</v>
      </c>
      <c r="K87" s="3" t="s">
        <v>33</v>
      </c>
      <c r="L87" s="3" t="s">
        <v>46</v>
      </c>
      <c r="M87" s="3" t="s">
        <v>36</v>
      </c>
      <c r="N87" s="3" t="s">
        <v>37</v>
      </c>
      <c r="O87" s="3" t="s">
        <v>470</v>
      </c>
      <c r="P87" s="3" t="s">
        <v>38</v>
      </c>
      <c r="Q87" s="3" t="s">
        <v>38</v>
      </c>
      <c r="R87" s="3" t="s">
        <v>471</v>
      </c>
      <c r="S87" s="3"/>
      <c r="T87" s="3"/>
      <c r="U87" s="3">
        <v>48000</v>
      </c>
      <c r="V87" s="3">
        <v>2500</v>
      </c>
      <c r="W87" s="3">
        <v>1516</v>
      </c>
      <c r="X87" s="3">
        <v>1516</v>
      </c>
      <c r="Y87" s="4">
        <v>43626</v>
      </c>
      <c r="Z87" s="3" t="s">
        <v>40</v>
      </c>
      <c r="AA87" s="3" t="s">
        <v>247</v>
      </c>
      <c r="AB87" s="3">
        <v>0</v>
      </c>
    </row>
    <row r="88" spans="1:28" ht="27.95" x14ac:dyDescent="0.3">
      <c r="A88" s="5">
        <v>82</v>
      </c>
      <c r="B88" s="5" t="str">
        <f>"201900096505"</f>
        <v>201900096505</v>
      </c>
      <c r="C88" s="5" t="str">
        <f>"16817"</f>
        <v>16817</v>
      </c>
      <c r="D88" s="5" t="s">
        <v>472</v>
      </c>
      <c r="E88" s="5">
        <v>20511193045</v>
      </c>
      <c r="F88" s="5" t="s">
        <v>473</v>
      </c>
      <c r="G88" s="5" t="s">
        <v>474</v>
      </c>
      <c r="H88" s="5" t="s">
        <v>32</v>
      </c>
      <c r="I88" s="5" t="s">
        <v>32</v>
      </c>
      <c r="J88" s="5" t="s">
        <v>475</v>
      </c>
      <c r="K88" s="5" t="s">
        <v>33</v>
      </c>
      <c r="L88" s="5" t="s">
        <v>46</v>
      </c>
      <c r="M88" s="5" t="s">
        <v>91</v>
      </c>
      <c r="N88" s="5" t="s">
        <v>92</v>
      </c>
      <c r="O88" s="5" t="s">
        <v>93</v>
      </c>
      <c r="P88" s="5" t="s">
        <v>199</v>
      </c>
      <c r="Q88" s="5"/>
      <c r="R88" s="5"/>
      <c r="S88" s="5"/>
      <c r="T88" s="5"/>
      <c r="U88" s="5">
        <v>23000</v>
      </c>
      <c r="V88" s="5">
        <v>2500</v>
      </c>
      <c r="W88" s="5">
        <v>1000</v>
      </c>
      <c r="X88" s="5">
        <v>908</v>
      </c>
      <c r="Y88" s="6">
        <v>43648</v>
      </c>
      <c r="Z88" s="5" t="s">
        <v>40</v>
      </c>
      <c r="AA88" s="5" t="s">
        <v>476</v>
      </c>
      <c r="AB88" s="5">
        <v>240</v>
      </c>
    </row>
    <row r="89" spans="1:28" ht="27.95" x14ac:dyDescent="0.3">
      <c r="A89" s="3">
        <v>83</v>
      </c>
      <c r="B89" s="3" t="str">
        <f>"201200161349"</f>
        <v>201200161349</v>
      </c>
      <c r="C89" s="3" t="str">
        <f>"18881"</f>
        <v>18881</v>
      </c>
      <c r="D89" s="3" t="s">
        <v>477</v>
      </c>
      <c r="E89" s="3">
        <v>20506151547</v>
      </c>
      <c r="F89" s="3" t="s">
        <v>478</v>
      </c>
      <c r="G89" s="3" t="s">
        <v>479</v>
      </c>
      <c r="H89" s="3" t="s">
        <v>32</v>
      </c>
      <c r="I89" s="3" t="s">
        <v>32</v>
      </c>
      <c r="J89" s="3" t="s">
        <v>32</v>
      </c>
      <c r="K89" s="3" t="s">
        <v>33</v>
      </c>
      <c r="L89" s="3" t="s">
        <v>46</v>
      </c>
      <c r="M89" s="3" t="s">
        <v>480</v>
      </c>
      <c r="N89" s="3" t="s">
        <v>481</v>
      </c>
      <c r="O89" s="3"/>
      <c r="P89" s="3"/>
      <c r="Q89" s="3"/>
      <c r="R89" s="3"/>
      <c r="S89" s="3"/>
      <c r="T89" s="3"/>
      <c r="U89" s="3">
        <v>18000</v>
      </c>
      <c r="V89" s="3">
        <v>2500</v>
      </c>
      <c r="W89" s="3">
        <v>1250</v>
      </c>
      <c r="X89" s="3">
        <v>950</v>
      </c>
      <c r="Y89" s="4">
        <v>41144</v>
      </c>
      <c r="Z89" s="3" t="s">
        <v>40</v>
      </c>
      <c r="AA89" s="3" t="s">
        <v>139</v>
      </c>
      <c r="AB89" s="3">
        <v>0</v>
      </c>
    </row>
    <row r="90" spans="1:28" ht="27.95" x14ac:dyDescent="0.3">
      <c r="A90" s="5">
        <v>84</v>
      </c>
      <c r="B90" s="5" t="str">
        <f>"201800040152"</f>
        <v>201800040152</v>
      </c>
      <c r="C90" s="5" t="str">
        <f>"112178"</f>
        <v>112178</v>
      </c>
      <c r="D90" s="5" t="s">
        <v>482</v>
      </c>
      <c r="E90" s="5">
        <v>20511995028</v>
      </c>
      <c r="F90" s="5" t="s">
        <v>30</v>
      </c>
      <c r="G90" s="5" t="s">
        <v>483</v>
      </c>
      <c r="H90" s="5" t="s">
        <v>32</v>
      </c>
      <c r="I90" s="5" t="s">
        <v>32</v>
      </c>
      <c r="J90" s="5" t="s">
        <v>484</v>
      </c>
      <c r="K90" s="5" t="s">
        <v>33</v>
      </c>
      <c r="L90" s="5" t="s">
        <v>46</v>
      </c>
      <c r="M90" s="5" t="s">
        <v>286</v>
      </c>
      <c r="N90" s="5" t="s">
        <v>38</v>
      </c>
      <c r="O90" s="5"/>
      <c r="P90" s="5"/>
      <c r="Q90" s="5"/>
      <c r="R90" s="5"/>
      <c r="S90" s="5"/>
      <c r="T90" s="5"/>
      <c r="U90" s="5">
        <v>16000</v>
      </c>
      <c r="V90" s="5">
        <v>2500</v>
      </c>
      <c r="W90" s="5">
        <v>0</v>
      </c>
      <c r="X90" s="5"/>
      <c r="Y90" s="6">
        <v>43178</v>
      </c>
      <c r="Z90" s="5" t="s">
        <v>40</v>
      </c>
      <c r="AA90" s="5" t="s">
        <v>485</v>
      </c>
      <c r="AB90" s="5">
        <v>0</v>
      </c>
    </row>
    <row r="91" spans="1:28" ht="27.95" x14ac:dyDescent="0.3">
      <c r="A91" s="3">
        <v>85</v>
      </c>
      <c r="B91" s="3" t="str">
        <f>"201900015224"</f>
        <v>201900015224</v>
      </c>
      <c r="C91" s="3" t="str">
        <f>"15666"</f>
        <v>15666</v>
      </c>
      <c r="D91" s="3" t="s">
        <v>486</v>
      </c>
      <c r="E91" s="3">
        <v>20511995028</v>
      </c>
      <c r="F91" s="3" t="s">
        <v>30</v>
      </c>
      <c r="G91" s="3" t="s">
        <v>487</v>
      </c>
      <c r="H91" s="3" t="s">
        <v>32</v>
      </c>
      <c r="I91" s="3" t="s">
        <v>32</v>
      </c>
      <c r="J91" s="3" t="s">
        <v>202</v>
      </c>
      <c r="K91" s="3" t="s">
        <v>33</v>
      </c>
      <c r="L91" s="3" t="s">
        <v>75</v>
      </c>
      <c r="M91" s="3" t="s">
        <v>488</v>
      </c>
      <c r="N91" s="3" t="s">
        <v>55</v>
      </c>
      <c r="O91" s="3" t="s">
        <v>67</v>
      </c>
      <c r="P91" s="3" t="s">
        <v>68</v>
      </c>
      <c r="Q91" s="3"/>
      <c r="R91" s="3"/>
      <c r="S91" s="3"/>
      <c r="T91" s="3"/>
      <c r="U91" s="3">
        <v>24000</v>
      </c>
      <c r="V91" s="3">
        <v>3200</v>
      </c>
      <c r="W91" s="3">
        <v>1250</v>
      </c>
      <c r="X91" s="3">
        <v>890</v>
      </c>
      <c r="Y91" s="4">
        <v>43496</v>
      </c>
      <c r="Z91" s="3" t="s">
        <v>40</v>
      </c>
      <c r="AA91" s="3" t="s">
        <v>41</v>
      </c>
      <c r="AB91" s="3">
        <v>0</v>
      </c>
    </row>
    <row r="92" spans="1:28" ht="27.95" x14ac:dyDescent="0.3">
      <c r="A92" s="5">
        <v>86</v>
      </c>
      <c r="B92" s="5" t="str">
        <f>"201900204202"</f>
        <v>201900204202</v>
      </c>
      <c r="C92" s="5" t="str">
        <f>"83665"</f>
        <v>83665</v>
      </c>
      <c r="D92" s="5" t="s">
        <v>489</v>
      </c>
      <c r="E92" s="5">
        <v>20127765279</v>
      </c>
      <c r="F92" s="5" t="s">
        <v>104</v>
      </c>
      <c r="G92" s="5" t="s">
        <v>490</v>
      </c>
      <c r="H92" s="5" t="s">
        <v>32</v>
      </c>
      <c r="I92" s="5" t="s">
        <v>32</v>
      </c>
      <c r="J92" s="5" t="s">
        <v>128</v>
      </c>
      <c r="K92" s="5" t="s">
        <v>33</v>
      </c>
      <c r="L92" s="5" t="s">
        <v>75</v>
      </c>
      <c r="M92" s="5" t="s">
        <v>491</v>
      </c>
      <c r="N92" s="5" t="s">
        <v>38</v>
      </c>
      <c r="O92" s="5"/>
      <c r="P92" s="5"/>
      <c r="Q92" s="5"/>
      <c r="R92" s="5"/>
      <c r="S92" s="5"/>
      <c r="T92" s="5"/>
      <c r="U92" s="5">
        <v>16000</v>
      </c>
      <c r="V92" s="5">
        <v>3200</v>
      </c>
      <c r="W92" s="5">
        <v>2500</v>
      </c>
      <c r="X92" s="5"/>
      <c r="Y92" s="6">
        <v>43811</v>
      </c>
      <c r="Z92" s="5" t="s">
        <v>40</v>
      </c>
      <c r="AA92" s="5" t="s">
        <v>109</v>
      </c>
      <c r="AB92" s="5">
        <v>720</v>
      </c>
    </row>
    <row r="93" spans="1:28" ht="41.95" x14ac:dyDescent="0.3">
      <c r="A93" s="3">
        <v>87</v>
      </c>
      <c r="B93" s="3" t="str">
        <f>"202000114384"</f>
        <v>202000114384</v>
      </c>
      <c r="C93" s="3" t="str">
        <f>"118240"</f>
        <v>118240</v>
      </c>
      <c r="D93" s="3" t="s">
        <v>492</v>
      </c>
      <c r="E93" s="3">
        <v>20604303029</v>
      </c>
      <c r="F93" s="3" t="s">
        <v>493</v>
      </c>
      <c r="G93" s="3" t="s">
        <v>494</v>
      </c>
      <c r="H93" s="3" t="s">
        <v>32</v>
      </c>
      <c r="I93" s="3" t="s">
        <v>32</v>
      </c>
      <c r="J93" s="3" t="s">
        <v>495</v>
      </c>
      <c r="K93" s="3" t="s">
        <v>33</v>
      </c>
      <c r="L93" s="3" t="s">
        <v>496</v>
      </c>
      <c r="M93" s="3" t="s">
        <v>55</v>
      </c>
      <c r="N93" s="3" t="s">
        <v>57</v>
      </c>
      <c r="O93" s="3" t="s">
        <v>68</v>
      </c>
      <c r="P93" s="3"/>
      <c r="Q93" s="3"/>
      <c r="R93" s="3"/>
      <c r="S93" s="3"/>
      <c r="T93" s="3"/>
      <c r="U93" s="3">
        <v>16000</v>
      </c>
      <c r="V93" s="3">
        <v>4300</v>
      </c>
      <c r="W93" s="3">
        <v>3600</v>
      </c>
      <c r="X93" s="3"/>
      <c r="Y93" s="4">
        <v>44090</v>
      </c>
      <c r="Z93" s="3" t="s">
        <v>40</v>
      </c>
      <c r="AA93" s="3" t="s">
        <v>436</v>
      </c>
      <c r="AB93" s="3">
        <v>0</v>
      </c>
    </row>
    <row r="94" spans="1:28" ht="27.95" x14ac:dyDescent="0.3">
      <c r="A94" s="5">
        <v>88</v>
      </c>
      <c r="B94" s="5" t="str">
        <f>"201900069681"</f>
        <v>201900069681</v>
      </c>
      <c r="C94" s="5" t="str">
        <f>"136355"</f>
        <v>136355</v>
      </c>
      <c r="D94" s="5" t="s">
        <v>497</v>
      </c>
      <c r="E94" s="5">
        <v>20557618920</v>
      </c>
      <c r="F94" s="5" t="s">
        <v>498</v>
      </c>
      <c r="G94" s="5" t="s">
        <v>499</v>
      </c>
      <c r="H94" s="5" t="s">
        <v>32</v>
      </c>
      <c r="I94" s="5" t="s">
        <v>32</v>
      </c>
      <c r="J94" s="5" t="s">
        <v>74</v>
      </c>
      <c r="K94" s="5" t="s">
        <v>33</v>
      </c>
      <c r="L94" s="5" t="s">
        <v>500</v>
      </c>
      <c r="M94" s="5" t="s">
        <v>501</v>
      </c>
      <c r="N94" s="5" t="s">
        <v>364</v>
      </c>
      <c r="O94" s="5" t="s">
        <v>364</v>
      </c>
      <c r="P94" s="5" t="s">
        <v>364</v>
      </c>
      <c r="Q94" s="5"/>
      <c r="R94" s="5"/>
      <c r="S94" s="5"/>
      <c r="T94" s="5"/>
      <c r="U94" s="5">
        <v>37688</v>
      </c>
      <c r="V94" s="5">
        <v>5000</v>
      </c>
      <c r="W94" s="5">
        <v>3000</v>
      </c>
      <c r="X94" s="5">
        <v>2776</v>
      </c>
      <c r="Y94" s="6">
        <v>43585</v>
      </c>
      <c r="Z94" s="5" t="s">
        <v>40</v>
      </c>
      <c r="AA94" s="5" t="s">
        <v>288</v>
      </c>
      <c r="AB94" s="5">
        <v>0</v>
      </c>
    </row>
    <row r="95" spans="1:28" x14ac:dyDescent="0.3">
      <c r="A95" s="3">
        <v>89</v>
      </c>
      <c r="B95" s="3" t="str">
        <f>"201900012152"</f>
        <v>201900012152</v>
      </c>
      <c r="C95" s="3" t="str">
        <f>"16612"</f>
        <v>16612</v>
      </c>
      <c r="D95" s="3" t="s">
        <v>502</v>
      </c>
      <c r="E95" s="3">
        <v>20511995028</v>
      </c>
      <c r="F95" s="3" t="s">
        <v>503</v>
      </c>
      <c r="G95" s="3" t="s">
        <v>504</v>
      </c>
      <c r="H95" s="3" t="s">
        <v>32</v>
      </c>
      <c r="I95" s="3" t="s">
        <v>32</v>
      </c>
      <c r="J95" s="3" t="s">
        <v>32</v>
      </c>
      <c r="K95" s="3" t="s">
        <v>33</v>
      </c>
      <c r="L95" s="3" t="s">
        <v>46</v>
      </c>
      <c r="M95" s="3" t="s">
        <v>505</v>
      </c>
      <c r="N95" s="3" t="s">
        <v>68</v>
      </c>
      <c r="O95" s="3" t="s">
        <v>67</v>
      </c>
      <c r="P95" s="3" t="s">
        <v>124</v>
      </c>
      <c r="Q95" s="3" t="s">
        <v>55</v>
      </c>
      <c r="R95" s="3"/>
      <c r="S95" s="3"/>
      <c r="T95" s="3"/>
      <c r="U95" s="3">
        <v>30000</v>
      </c>
      <c r="V95" s="3">
        <v>2500</v>
      </c>
      <c r="W95" s="3">
        <v>2000</v>
      </c>
      <c r="X95" s="3">
        <v>1534</v>
      </c>
      <c r="Y95" s="4">
        <v>43493</v>
      </c>
      <c r="Z95" s="3" t="s">
        <v>40</v>
      </c>
      <c r="AA95" s="3" t="s">
        <v>41</v>
      </c>
      <c r="AB95" s="3">
        <v>0</v>
      </c>
    </row>
    <row r="96" spans="1:28" ht="41.95" x14ac:dyDescent="0.3">
      <c r="A96" s="5">
        <v>90</v>
      </c>
      <c r="B96" s="5" t="str">
        <f>"201800012278"</f>
        <v>201800012278</v>
      </c>
      <c r="C96" s="5" t="str">
        <f>"38667"</f>
        <v>38667</v>
      </c>
      <c r="D96" s="5" t="s">
        <v>506</v>
      </c>
      <c r="E96" s="5">
        <v>20390606479</v>
      </c>
      <c r="F96" s="5" t="s">
        <v>507</v>
      </c>
      <c r="G96" s="5" t="s">
        <v>508</v>
      </c>
      <c r="H96" s="5" t="s">
        <v>32</v>
      </c>
      <c r="I96" s="5" t="s">
        <v>32</v>
      </c>
      <c r="J96" s="5" t="s">
        <v>509</v>
      </c>
      <c r="K96" s="5" t="s">
        <v>33</v>
      </c>
      <c r="L96" s="5" t="s">
        <v>66</v>
      </c>
      <c r="M96" s="5" t="s">
        <v>107</v>
      </c>
      <c r="N96" s="5" t="s">
        <v>108</v>
      </c>
      <c r="O96" s="5" t="s">
        <v>36</v>
      </c>
      <c r="P96" s="5" t="s">
        <v>439</v>
      </c>
      <c r="Q96" s="5" t="s">
        <v>38</v>
      </c>
      <c r="R96" s="5" t="s">
        <v>38</v>
      </c>
      <c r="S96" s="5"/>
      <c r="T96" s="5"/>
      <c r="U96" s="5">
        <v>48000</v>
      </c>
      <c r="V96" s="5">
        <v>4500</v>
      </c>
      <c r="W96" s="5">
        <v>2000</v>
      </c>
      <c r="X96" s="5">
        <v>1252</v>
      </c>
      <c r="Y96" s="6">
        <v>43126</v>
      </c>
      <c r="Z96" s="5" t="s">
        <v>40</v>
      </c>
      <c r="AA96" s="5" t="s">
        <v>510</v>
      </c>
      <c r="AB96" s="5">
        <v>720</v>
      </c>
    </row>
    <row r="97" spans="1:28" ht="27.95" x14ac:dyDescent="0.3">
      <c r="A97" s="3">
        <v>91</v>
      </c>
      <c r="B97" s="3" t="str">
        <f>"202000011168"</f>
        <v>202000011168</v>
      </c>
      <c r="C97" s="3" t="str">
        <f>"8054"</f>
        <v>8054</v>
      </c>
      <c r="D97" s="3" t="s">
        <v>511</v>
      </c>
      <c r="E97" s="3">
        <v>20602603815</v>
      </c>
      <c r="F97" s="3" t="s">
        <v>512</v>
      </c>
      <c r="G97" s="3" t="s">
        <v>513</v>
      </c>
      <c r="H97" s="3" t="s">
        <v>32</v>
      </c>
      <c r="I97" s="3" t="s">
        <v>32</v>
      </c>
      <c r="J97" s="3" t="s">
        <v>143</v>
      </c>
      <c r="K97" s="3" t="s">
        <v>33</v>
      </c>
      <c r="L97" s="3" t="s">
        <v>54</v>
      </c>
      <c r="M97" s="3"/>
      <c r="N97" s="3"/>
      <c r="O97" s="3"/>
      <c r="P97" s="3"/>
      <c r="Q97" s="3"/>
      <c r="R97" s="3"/>
      <c r="S97" s="3"/>
      <c r="T97" s="3"/>
      <c r="U97" s="3">
        <v>36000</v>
      </c>
      <c r="V97" s="3">
        <v>3000</v>
      </c>
      <c r="W97" s="3">
        <v>4000</v>
      </c>
      <c r="X97" s="3"/>
      <c r="Y97" s="4">
        <v>43857</v>
      </c>
      <c r="Z97" s="3" t="s">
        <v>40</v>
      </c>
      <c r="AA97" s="3" t="s">
        <v>514</v>
      </c>
      <c r="AB97" s="3">
        <v>0</v>
      </c>
    </row>
    <row r="98" spans="1:28" x14ac:dyDescent="0.3">
      <c r="A98" s="5">
        <v>92</v>
      </c>
      <c r="B98" s="5" t="str">
        <f>"201900193223"</f>
        <v>201900193223</v>
      </c>
      <c r="C98" s="5" t="str">
        <f>"6749"</f>
        <v>6749</v>
      </c>
      <c r="D98" s="5" t="s">
        <v>515</v>
      </c>
      <c r="E98" s="5">
        <v>20100111838</v>
      </c>
      <c r="F98" s="5" t="s">
        <v>111</v>
      </c>
      <c r="G98" s="5" t="s">
        <v>516</v>
      </c>
      <c r="H98" s="5" t="s">
        <v>32</v>
      </c>
      <c r="I98" s="5" t="s">
        <v>32</v>
      </c>
      <c r="J98" s="5" t="s">
        <v>517</v>
      </c>
      <c r="K98" s="5" t="s">
        <v>33</v>
      </c>
      <c r="L98" s="5" t="s">
        <v>75</v>
      </c>
      <c r="M98" s="5" t="s">
        <v>38</v>
      </c>
      <c r="N98" s="5" t="s">
        <v>38</v>
      </c>
      <c r="O98" s="5" t="s">
        <v>518</v>
      </c>
      <c r="P98" s="5" t="s">
        <v>37</v>
      </c>
      <c r="Q98" s="5" t="s">
        <v>36</v>
      </c>
      <c r="R98" s="5"/>
      <c r="S98" s="5"/>
      <c r="T98" s="5"/>
      <c r="U98" s="5">
        <v>40000</v>
      </c>
      <c r="V98" s="5">
        <v>3200</v>
      </c>
      <c r="W98" s="5">
        <v>1100</v>
      </c>
      <c r="X98" s="5"/>
      <c r="Y98" s="6">
        <v>43796</v>
      </c>
      <c r="Z98" s="5" t="s">
        <v>40</v>
      </c>
      <c r="AA98" s="5" t="s">
        <v>118</v>
      </c>
      <c r="AB98" s="5">
        <v>0</v>
      </c>
    </row>
    <row r="99" spans="1:28" ht="27.95" x14ac:dyDescent="0.3">
      <c r="A99" s="3">
        <v>93</v>
      </c>
      <c r="B99" s="3" t="str">
        <f>"201900014933"</f>
        <v>201900014933</v>
      </c>
      <c r="C99" s="3" t="str">
        <f>"135513"</f>
        <v>135513</v>
      </c>
      <c r="D99" s="3" t="s">
        <v>519</v>
      </c>
      <c r="E99" s="3">
        <v>20127765279</v>
      </c>
      <c r="F99" s="3" t="s">
        <v>104</v>
      </c>
      <c r="G99" s="3" t="s">
        <v>520</v>
      </c>
      <c r="H99" s="3" t="s">
        <v>32</v>
      </c>
      <c r="I99" s="3" t="s">
        <v>32</v>
      </c>
      <c r="J99" s="3" t="s">
        <v>128</v>
      </c>
      <c r="K99" s="3" t="s">
        <v>33</v>
      </c>
      <c r="L99" s="3" t="s">
        <v>521</v>
      </c>
      <c r="M99" s="3" t="s">
        <v>38</v>
      </c>
      <c r="N99" s="3" t="s">
        <v>522</v>
      </c>
      <c r="O99" s="3" t="s">
        <v>36</v>
      </c>
      <c r="P99" s="3" t="s">
        <v>37</v>
      </c>
      <c r="Q99" s="3" t="s">
        <v>35</v>
      </c>
      <c r="R99" s="3"/>
      <c r="S99" s="3"/>
      <c r="T99" s="3"/>
      <c r="U99" s="3">
        <v>36000</v>
      </c>
      <c r="V99" s="3">
        <v>6000</v>
      </c>
      <c r="W99" s="3">
        <v>3900</v>
      </c>
      <c r="X99" s="3"/>
      <c r="Y99" s="4">
        <v>43495</v>
      </c>
      <c r="Z99" s="3" t="s">
        <v>40</v>
      </c>
      <c r="AA99" s="3" t="s">
        <v>109</v>
      </c>
      <c r="AB99" s="3">
        <v>0</v>
      </c>
    </row>
    <row r="100" spans="1:28" ht="41.95" x14ac:dyDescent="0.3">
      <c r="A100" s="5">
        <v>94</v>
      </c>
      <c r="B100" s="5" t="str">
        <f>"201800184010"</f>
        <v>201800184010</v>
      </c>
      <c r="C100" s="5" t="str">
        <f>"133262"</f>
        <v>133262</v>
      </c>
      <c r="D100" s="5" t="s">
        <v>523</v>
      </c>
      <c r="E100" s="5">
        <v>20554222499</v>
      </c>
      <c r="F100" s="5" t="s">
        <v>524</v>
      </c>
      <c r="G100" s="5" t="s">
        <v>525</v>
      </c>
      <c r="H100" s="5" t="s">
        <v>32</v>
      </c>
      <c r="I100" s="5" t="s">
        <v>32</v>
      </c>
      <c r="J100" s="5" t="s">
        <v>495</v>
      </c>
      <c r="K100" s="5" t="s">
        <v>33</v>
      </c>
      <c r="L100" s="5" t="s">
        <v>46</v>
      </c>
      <c r="M100" s="5" t="s">
        <v>526</v>
      </c>
      <c r="N100" s="5"/>
      <c r="O100" s="5"/>
      <c r="P100" s="5"/>
      <c r="Q100" s="5"/>
      <c r="R100" s="5"/>
      <c r="S100" s="5"/>
      <c r="T100" s="5"/>
      <c r="U100" s="5">
        <v>8000</v>
      </c>
      <c r="V100" s="5">
        <v>2500</v>
      </c>
      <c r="W100" s="5">
        <v>264.17</v>
      </c>
      <c r="X100" s="5">
        <v>1063</v>
      </c>
      <c r="Y100" s="6">
        <v>43411</v>
      </c>
      <c r="Z100" s="5" t="s">
        <v>40</v>
      </c>
      <c r="AA100" s="5" t="s">
        <v>377</v>
      </c>
      <c r="AB100" s="5">
        <v>0</v>
      </c>
    </row>
    <row r="101" spans="1:28" x14ac:dyDescent="0.3">
      <c r="A101" s="3">
        <v>95</v>
      </c>
      <c r="B101" s="3" t="str">
        <f>"201800017322"</f>
        <v>201800017322</v>
      </c>
      <c r="C101" s="3" t="str">
        <f>"9635"</f>
        <v>9635</v>
      </c>
      <c r="D101" s="3" t="s">
        <v>527</v>
      </c>
      <c r="E101" s="3">
        <v>20100032458</v>
      </c>
      <c r="F101" s="3" t="s">
        <v>528</v>
      </c>
      <c r="G101" s="3" t="s">
        <v>529</v>
      </c>
      <c r="H101" s="3" t="s">
        <v>32</v>
      </c>
      <c r="I101" s="3" t="s">
        <v>32</v>
      </c>
      <c r="J101" s="3" t="s">
        <v>32</v>
      </c>
      <c r="K101" s="3" t="s">
        <v>33</v>
      </c>
      <c r="L101" s="3" t="s">
        <v>55</v>
      </c>
      <c r="M101" s="3" t="s">
        <v>55</v>
      </c>
      <c r="N101" s="3" t="s">
        <v>67</v>
      </c>
      <c r="O101" s="3" t="s">
        <v>124</v>
      </c>
      <c r="P101" s="3" t="s">
        <v>68</v>
      </c>
      <c r="Q101" s="3" t="s">
        <v>124</v>
      </c>
      <c r="R101" s="3" t="s">
        <v>358</v>
      </c>
      <c r="S101" s="3"/>
      <c r="T101" s="3"/>
      <c r="U101" s="3">
        <v>36000</v>
      </c>
      <c r="V101" s="3">
        <v>2000</v>
      </c>
      <c r="W101" s="3">
        <v>1500</v>
      </c>
      <c r="X101" s="3"/>
      <c r="Y101" s="4">
        <v>43137</v>
      </c>
      <c r="Z101" s="3" t="s">
        <v>40</v>
      </c>
      <c r="AA101" s="3" t="s">
        <v>530</v>
      </c>
      <c r="AB101" s="3">
        <v>0</v>
      </c>
    </row>
    <row r="102" spans="1:28" ht="27.95" x14ac:dyDescent="0.3">
      <c r="A102" s="5">
        <v>96</v>
      </c>
      <c r="B102" s="5" t="str">
        <f>"201900012161"</f>
        <v>201900012161</v>
      </c>
      <c r="C102" s="5" t="str">
        <f>"87014"</f>
        <v>87014</v>
      </c>
      <c r="D102" s="5" t="s">
        <v>531</v>
      </c>
      <c r="E102" s="5">
        <v>20511995028</v>
      </c>
      <c r="F102" s="5" t="s">
        <v>503</v>
      </c>
      <c r="G102" s="5" t="s">
        <v>532</v>
      </c>
      <c r="H102" s="5" t="s">
        <v>32</v>
      </c>
      <c r="I102" s="5" t="s">
        <v>32</v>
      </c>
      <c r="J102" s="5" t="s">
        <v>152</v>
      </c>
      <c r="K102" s="5" t="s">
        <v>33</v>
      </c>
      <c r="L102" s="5" t="s">
        <v>75</v>
      </c>
      <c r="M102" s="5" t="s">
        <v>199</v>
      </c>
      <c r="N102" s="5" t="s">
        <v>533</v>
      </c>
      <c r="O102" s="5"/>
      <c r="P102" s="5"/>
      <c r="Q102" s="5"/>
      <c r="R102" s="5"/>
      <c r="S102" s="5"/>
      <c r="T102" s="5"/>
      <c r="U102" s="5">
        <v>16000</v>
      </c>
      <c r="V102" s="5">
        <v>3200</v>
      </c>
      <c r="W102" s="5">
        <v>2000</v>
      </c>
      <c r="X102" s="5">
        <v>1400</v>
      </c>
      <c r="Y102" s="6">
        <v>43492</v>
      </c>
      <c r="Z102" s="5" t="s">
        <v>40</v>
      </c>
      <c r="AA102" s="5" t="s">
        <v>41</v>
      </c>
      <c r="AB102" s="5">
        <v>0</v>
      </c>
    </row>
    <row r="103" spans="1:28" ht="41.95" x14ac:dyDescent="0.3">
      <c r="A103" s="3">
        <v>97</v>
      </c>
      <c r="B103" s="3" t="str">
        <f>"201400134163"</f>
        <v>201400134163</v>
      </c>
      <c r="C103" s="3" t="str">
        <f>"16806"</f>
        <v>16806</v>
      </c>
      <c r="D103" s="3" t="s">
        <v>534</v>
      </c>
      <c r="E103" s="3">
        <v>20111641022</v>
      </c>
      <c r="F103" s="3" t="s">
        <v>535</v>
      </c>
      <c r="G103" s="3" t="s">
        <v>536</v>
      </c>
      <c r="H103" s="3" t="s">
        <v>32</v>
      </c>
      <c r="I103" s="3" t="s">
        <v>32</v>
      </c>
      <c r="J103" s="3" t="s">
        <v>143</v>
      </c>
      <c r="K103" s="3" t="s">
        <v>33</v>
      </c>
      <c r="L103" s="3" t="s">
        <v>123</v>
      </c>
      <c r="M103" s="3" t="s">
        <v>67</v>
      </c>
      <c r="N103" s="3" t="s">
        <v>68</v>
      </c>
      <c r="O103" s="3" t="s">
        <v>124</v>
      </c>
      <c r="P103" s="3" t="s">
        <v>55</v>
      </c>
      <c r="Q103" s="3" t="s">
        <v>358</v>
      </c>
      <c r="R103" s="3"/>
      <c r="S103" s="3"/>
      <c r="T103" s="3"/>
      <c r="U103" s="3">
        <v>27500</v>
      </c>
      <c r="V103" s="3">
        <v>3500</v>
      </c>
      <c r="W103" s="3">
        <v>0</v>
      </c>
      <c r="X103" s="3"/>
      <c r="Y103" s="4">
        <v>41961</v>
      </c>
      <c r="Z103" s="3" t="s">
        <v>40</v>
      </c>
      <c r="AA103" s="3" t="s">
        <v>537</v>
      </c>
      <c r="AB103" s="3">
        <v>0</v>
      </c>
    </row>
    <row r="104" spans="1:28" x14ac:dyDescent="0.3">
      <c r="A104" s="5">
        <v>98</v>
      </c>
      <c r="B104" s="5" t="str">
        <f>"201900204083"</f>
        <v>201900204083</v>
      </c>
      <c r="C104" s="5" t="str">
        <f>"7706"</f>
        <v>7706</v>
      </c>
      <c r="D104" s="5" t="s">
        <v>538</v>
      </c>
      <c r="E104" s="5">
        <v>20127765279</v>
      </c>
      <c r="F104" s="5" t="s">
        <v>104</v>
      </c>
      <c r="G104" s="5" t="s">
        <v>539</v>
      </c>
      <c r="H104" s="5" t="s">
        <v>32</v>
      </c>
      <c r="I104" s="5" t="s">
        <v>225</v>
      </c>
      <c r="J104" s="5" t="s">
        <v>540</v>
      </c>
      <c r="K104" s="5" t="s">
        <v>33</v>
      </c>
      <c r="L104" s="5" t="s">
        <v>500</v>
      </c>
      <c r="M104" s="5" t="s">
        <v>541</v>
      </c>
      <c r="N104" s="5" t="s">
        <v>542</v>
      </c>
      <c r="O104" s="5" t="s">
        <v>543</v>
      </c>
      <c r="P104" s="5" t="s">
        <v>544</v>
      </c>
      <c r="Q104" s="5"/>
      <c r="R104" s="5"/>
      <c r="S104" s="5"/>
      <c r="T104" s="5"/>
      <c r="U104" s="5">
        <v>20734</v>
      </c>
      <c r="V104" s="5">
        <v>5000</v>
      </c>
      <c r="W104" s="5">
        <v>1</v>
      </c>
      <c r="X104" s="5"/>
      <c r="Y104" s="6">
        <v>43811</v>
      </c>
      <c r="Z104" s="5" t="s">
        <v>40</v>
      </c>
      <c r="AA104" s="5" t="s">
        <v>109</v>
      </c>
      <c r="AB104" s="5">
        <v>720</v>
      </c>
    </row>
    <row r="105" spans="1:28" ht="27.95" x14ac:dyDescent="0.3">
      <c r="A105" s="3">
        <v>99</v>
      </c>
      <c r="B105" s="3" t="str">
        <f>"201800011943"</f>
        <v>201800011943</v>
      </c>
      <c r="C105" s="3" t="str">
        <f>"100155"</f>
        <v>100155</v>
      </c>
      <c r="D105" s="3" t="s">
        <v>545</v>
      </c>
      <c r="E105" s="3">
        <v>20127765279</v>
      </c>
      <c r="F105" s="3" t="s">
        <v>104</v>
      </c>
      <c r="G105" s="3" t="s">
        <v>546</v>
      </c>
      <c r="H105" s="3" t="s">
        <v>32</v>
      </c>
      <c r="I105" s="3" t="s">
        <v>32</v>
      </c>
      <c r="J105" s="3" t="s">
        <v>65</v>
      </c>
      <c r="K105" s="3" t="s">
        <v>33</v>
      </c>
      <c r="L105" s="3" t="s">
        <v>54</v>
      </c>
      <c r="M105" s="3" t="s">
        <v>199</v>
      </c>
      <c r="N105" s="3" t="s">
        <v>36</v>
      </c>
      <c r="O105" s="3" t="s">
        <v>38</v>
      </c>
      <c r="P105" s="3"/>
      <c r="Q105" s="3"/>
      <c r="R105" s="3"/>
      <c r="S105" s="3"/>
      <c r="T105" s="3"/>
      <c r="U105" s="3">
        <v>24000</v>
      </c>
      <c r="V105" s="3">
        <v>3000</v>
      </c>
      <c r="W105" s="3">
        <v>2000</v>
      </c>
      <c r="X105" s="3">
        <v>2932</v>
      </c>
      <c r="Y105" s="4">
        <v>43125</v>
      </c>
      <c r="Z105" s="3" t="s">
        <v>40</v>
      </c>
      <c r="AA105" s="3" t="s">
        <v>203</v>
      </c>
      <c r="AB105" s="3">
        <v>480</v>
      </c>
    </row>
    <row r="106" spans="1:28" ht="27.95" x14ac:dyDescent="0.3">
      <c r="A106" s="5">
        <v>100</v>
      </c>
      <c r="B106" s="5" t="str">
        <f>"201600012394"</f>
        <v>201600012394</v>
      </c>
      <c r="C106" s="5" t="str">
        <f>"14706"</f>
        <v>14706</v>
      </c>
      <c r="D106" s="5" t="s">
        <v>547</v>
      </c>
      <c r="E106" s="5">
        <v>20565685652</v>
      </c>
      <c r="F106" s="5" t="s">
        <v>548</v>
      </c>
      <c r="G106" s="5" t="s">
        <v>549</v>
      </c>
      <c r="H106" s="5" t="s">
        <v>32</v>
      </c>
      <c r="I106" s="5" t="s">
        <v>32</v>
      </c>
      <c r="J106" s="5" t="s">
        <v>128</v>
      </c>
      <c r="K106" s="5" t="s">
        <v>33</v>
      </c>
      <c r="L106" s="5" t="s">
        <v>550</v>
      </c>
      <c r="M106" s="5" t="s">
        <v>550</v>
      </c>
      <c r="N106" s="5" t="s">
        <v>551</v>
      </c>
      <c r="O106" s="5" t="s">
        <v>552</v>
      </c>
      <c r="P106" s="5" t="s">
        <v>553</v>
      </c>
      <c r="Q106" s="5" t="s">
        <v>554</v>
      </c>
      <c r="R106" s="5"/>
      <c r="S106" s="5"/>
      <c r="T106" s="5"/>
      <c r="U106" s="5">
        <v>46340</v>
      </c>
      <c r="V106" s="5">
        <v>3100</v>
      </c>
      <c r="W106" s="5">
        <v>0</v>
      </c>
      <c r="X106" s="5"/>
      <c r="Y106" s="6">
        <v>42426</v>
      </c>
      <c r="Z106" s="5" t="s">
        <v>40</v>
      </c>
      <c r="AA106" s="5" t="s">
        <v>555</v>
      </c>
      <c r="AB106" s="5">
        <v>0</v>
      </c>
    </row>
    <row r="107" spans="1:28" ht="27.95" x14ac:dyDescent="0.3">
      <c r="A107" s="3">
        <v>101</v>
      </c>
      <c r="B107" s="3" t="str">
        <f>"201900204225"</f>
        <v>201900204225</v>
      </c>
      <c r="C107" s="3" t="str">
        <f>"38655"</f>
        <v>38655</v>
      </c>
      <c r="D107" s="3" t="s">
        <v>556</v>
      </c>
      <c r="E107" s="3">
        <v>20127765279</v>
      </c>
      <c r="F107" s="3" t="s">
        <v>104</v>
      </c>
      <c r="G107" s="3" t="s">
        <v>557</v>
      </c>
      <c r="H107" s="3" t="s">
        <v>32</v>
      </c>
      <c r="I107" s="3" t="s">
        <v>32</v>
      </c>
      <c r="J107" s="3" t="s">
        <v>475</v>
      </c>
      <c r="K107" s="3" t="s">
        <v>33</v>
      </c>
      <c r="L107" s="3" t="s">
        <v>67</v>
      </c>
      <c r="M107" s="3" t="s">
        <v>124</v>
      </c>
      <c r="N107" s="3" t="s">
        <v>68</v>
      </c>
      <c r="O107" s="3" t="s">
        <v>55</v>
      </c>
      <c r="P107" s="3" t="s">
        <v>124</v>
      </c>
      <c r="Q107" s="3" t="s">
        <v>67</v>
      </c>
      <c r="R107" s="3" t="s">
        <v>358</v>
      </c>
      <c r="S107" s="3"/>
      <c r="T107" s="3"/>
      <c r="U107" s="3">
        <v>36000</v>
      </c>
      <c r="V107" s="3">
        <v>2000</v>
      </c>
      <c r="W107" s="3">
        <v>2500</v>
      </c>
      <c r="X107" s="3">
        <v>994</v>
      </c>
      <c r="Y107" s="4">
        <v>43811</v>
      </c>
      <c r="Z107" s="3" t="s">
        <v>40</v>
      </c>
      <c r="AA107" s="3" t="s">
        <v>109</v>
      </c>
      <c r="AB107" s="3">
        <v>0</v>
      </c>
    </row>
    <row r="108" spans="1:28" x14ac:dyDescent="0.3">
      <c r="A108" s="5">
        <v>102</v>
      </c>
      <c r="B108" s="5" t="str">
        <f>"201900204220"</f>
        <v>201900204220</v>
      </c>
      <c r="C108" s="5" t="str">
        <f>"6873"</f>
        <v>6873</v>
      </c>
      <c r="D108" s="5" t="s">
        <v>558</v>
      </c>
      <c r="E108" s="5">
        <v>20127765279</v>
      </c>
      <c r="F108" s="5" t="s">
        <v>104</v>
      </c>
      <c r="G108" s="5" t="s">
        <v>559</v>
      </c>
      <c r="H108" s="5" t="s">
        <v>32</v>
      </c>
      <c r="I108" s="5" t="s">
        <v>32</v>
      </c>
      <c r="J108" s="5" t="s">
        <v>363</v>
      </c>
      <c r="K108" s="5" t="s">
        <v>33</v>
      </c>
      <c r="L108" s="5" t="s">
        <v>124</v>
      </c>
      <c r="M108" s="5" t="s">
        <v>55</v>
      </c>
      <c r="N108" s="5" t="s">
        <v>68</v>
      </c>
      <c r="O108" s="5" t="s">
        <v>67</v>
      </c>
      <c r="P108" s="5" t="s">
        <v>57</v>
      </c>
      <c r="Q108" s="5" t="s">
        <v>48</v>
      </c>
      <c r="R108" s="5"/>
      <c r="S108" s="5"/>
      <c r="T108" s="5"/>
      <c r="U108" s="5">
        <v>28000</v>
      </c>
      <c r="V108" s="5">
        <v>2500</v>
      </c>
      <c r="W108" s="5">
        <v>2000</v>
      </c>
      <c r="X108" s="5"/>
      <c r="Y108" s="6">
        <v>43811</v>
      </c>
      <c r="Z108" s="5" t="s">
        <v>40</v>
      </c>
      <c r="AA108" s="5" t="s">
        <v>109</v>
      </c>
      <c r="AB108" s="5">
        <v>120</v>
      </c>
    </row>
    <row r="109" spans="1:28" x14ac:dyDescent="0.3">
      <c r="A109" s="3">
        <v>103</v>
      </c>
      <c r="B109" s="3" t="str">
        <f>"201800071039"</f>
        <v>201800071039</v>
      </c>
      <c r="C109" s="3" t="str">
        <f>"130320"</f>
        <v>130320</v>
      </c>
      <c r="D109" s="3" t="s">
        <v>560</v>
      </c>
      <c r="E109" s="3">
        <v>20553368902</v>
      </c>
      <c r="F109" s="3" t="s">
        <v>561</v>
      </c>
      <c r="G109" s="3" t="s">
        <v>562</v>
      </c>
      <c r="H109" s="3" t="s">
        <v>563</v>
      </c>
      <c r="I109" s="3" t="s">
        <v>564</v>
      </c>
      <c r="J109" s="3" t="s">
        <v>565</v>
      </c>
      <c r="K109" s="3" t="s">
        <v>33</v>
      </c>
      <c r="L109" s="3" t="s">
        <v>566</v>
      </c>
      <c r="M109" s="3" t="s">
        <v>56</v>
      </c>
      <c r="N109" s="3" t="s">
        <v>567</v>
      </c>
      <c r="O109" s="3" t="s">
        <v>131</v>
      </c>
      <c r="P109" s="3" t="s">
        <v>131</v>
      </c>
      <c r="Q109" s="3"/>
      <c r="R109" s="3"/>
      <c r="S109" s="3"/>
      <c r="T109" s="3"/>
      <c r="U109" s="3">
        <v>8000</v>
      </c>
      <c r="V109" s="3">
        <v>6400</v>
      </c>
      <c r="W109" s="3">
        <v>1200</v>
      </c>
      <c r="X109" s="3">
        <v>1596</v>
      </c>
      <c r="Y109" s="4">
        <v>43224</v>
      </c>
      <c r="Z109" s="3" t="s">
        <v>40</v>
      </c>
      <c r="AA109" s="3" t="s">
        <v>568</v>
      </c>
      <c r="AB109" s="3">
        <v>0</v>
      </c>
    </row>
    <row r="110" spans="1:28" ht="27.95" x14ac:dyDescent="0.3">
      <c r="A110" s="5">
        <v>104</v>
      </c>
      <c r="B110" s="5" t="str">
        <f>"201600131597"</f>
        <v>201600131597</v>
      </c>
      <c r="C110" s="5" t="str">
        <f>"119600"</f>
        <v>119600</v>
      </c>
      <c r="D110" s="5" t="s">
        <v>569</v>
      </c>
      <c r="E110" s="5">
        <v>20556597376</v>
      </c>
      <c r="F110" s="5" t="s">
        <v>570</v>
      </c>
      <c r="G110" s="5" t="s">
        <v>571</v>
      </c>
      <c r="H110" s="5" t="s">
        <v>32</v>
      </c>
      <c r="I110" s="5" t="s">
        <v>225</v>
      </c>
      <c r="J110" s="5" t="s">
        <v>572</v>
      </c>
      <c r="K110" s="5" t="s">
        <v>33</v>
      </c>
      <c r="L110" s="5" t="s">
        <v>573</v>
      </c>
      <c r="M110" s="5" t="s">
        <v>573</v>
      </c>
      <c r="N110" s="5" t="s">
        <v>574</v>
      </c>
      <c r="O110" s="5" t="s">
        <v>575</v>
      </c>
      <c r="P110" s="5" t="s">
        <v>287</v>
      </c>
      <c r="Q110" s="5"/>
      <c r="R110" s="5"/>
      <c r="S110" s="5"/>
      <c r="T110" s="5"/>
      <c r="U110" s="5">
        <v>32069</v>
      </c>
      <c r="V110" s="5">
        <v>4000</v>
      </c>
      <c r="W110" s="5">
        <v>0</v>
      </c>
      <c r="X110" s="5"/>
      <c r="Y110" s="6">
        <v>42647</v>
      </c>
      <c r="Z110" s="5" t="s">
        <v>40</v>
      </c>
      <c r="AA110" s="5" t="s">
        <v>576</v>
      </c>
      <c r="AB110" s="5">
        <v>720</v>
      </c>
    </row>
    <row r="111" spans="1:28" ht="41.95" x14ac:dyDescent="0.3">
      <c r="A111" s="3">
        <v>105</v>
      </c>
      <c r="B111" s="3" t="str">
        <f>"202000075009"</f>
        <v>202000075009</v>
      </c>
      <c r="C111" s="3" t="str">
        <f>"62240"</f>
        <v>62240</v>
      </c>
      <c r="D111" s="3" t="s">
        <v>577</v>
      </c>
      <c r="E111" s="3">
        <v>20551615856</v>
      </c>
      <c r="F111" s="3" t="s">
        <v>578</v>
      </c>
      <c r="G111" s="3" t="s">
        <v>579</v>
      </c>
      <c r="H111" s="3" t="s">
        <v>32</v>
      </c>
      <c r="I111" s="3" t="s">
        <v>32</v>
      </c>
      <c r="J111" s="3" t="s">
        <v>383</v>
      </c>
      <c r="K111" s="3" t="s">
        <v>33</v>
      </c>
      <c r="L111" s="3" t="s">
        <v>54</v>
      </c>
      <c r="M111" s="3" t="s">
        <v>580</v>
      </c>
      <c r="N111" s="3"/>
      <c r="O111" s="3"/>
      <c r="P111" s="3"/>
      <c r="Q111" s="3"/>
      <c r="R111" s="3"/>
      <c r="S111" s="3"/>
      <c r="T111" s="3"/>
      <c r="U111" s="3">
        <v>10000</v>
      </c>
      <c r="V111" s="3">
        <v>3000</v>
      </c>
      <c r="W111" s="3">
        <v>2500</v>
      </c>
      <c r="X111" s="3"/>
      <c r="Y111" s="4">
        <v>44050</v>
      </c>
      <c r="Z111" s="3" t="s">
        <v>40</v>
      </c>
      <c r="AA111" s="3" t="s">
        <v>581</v>
      </c>
      <c r="AB111" s="3">
        <v>0</v>
      </c>
    </row>
    <row r="112" spans="1:28" ht="27.95" x14ac:dyDescent="0.3">
      <c r="A112" s="5">
        <v>106</v>
      </c>
      <c r="B112" s="5" t="str">
        <f>"202000116127"</f>
        <v>202000116127</v>
      </c>
      <c r="C112" s="5" t="str">
        <f>"21006"</f>
        <v>21006</v>
      </c>
      <c r="D112" s="5" t="s">
        <v>582</v>
      </c>
      <c r="E112" s="5">
        <v>20508196475</v>
      </c>
      <c r="F112" s="5" t="s">
        <v>583</v>
      </c>
      <c r="G112" s="5" t="s">
        <v>584</v>
      </c>
      <c r="H112" s="5" t="s">
        <v>32</v>
      </c>
      <c r="I112" s="5" t="s">
        <v>32</v>
      </c>
      <c r="J112" s="5" t="s">
        <v>90</v>
      </c>
      <c r="K112" s="5" t="s">
        <v>33</v>
      </c>
      <c r="L112" s="5" t="s">
        <v>46</v>
      </c>
      <c r="M112" s="5" t="s">
        <v>36</v>
      </c>
      <c r="N112" s="5" t="s">
        <v>35</v>
      </c>
      <c r="O112" s="5" t="s">
        <v>108</v>
      </c>
      <c r="P112" s="5" t="s">
        <v>413</v>
      </c>
      <c r="Q112" s="5" t="s">
        <v>585</v>
      </c>
      <c r="R112" s="5" t="s">
        <v>68</v>
      </c>
      <c r="S112" s="5"/>
      <c r="T112" s="5"/>
      <c r="U112" s="5">
        <v>44000</v>
      </c>
      <c r="V112" s="5">
        <v>2500</v>
      </c>
      <c r="W112" s="5">
        <v>4000</v>
      </c>
      <c r="X112" s="5"/>
      <c r="Y112" s="6">
        <v>44085</v>
      </c>
      <c r="Z112" s="5" t="s">
        <v>40</v>
      </c>
      <c r="AA112" s="5" t="s">
        <v>586</v>
      </c>
      <c r="AB112" s="5">
        <v>0</v>
      </c>
    </row>
    <row r="113" spans="1:28" ht="27.95" x14ac:dyDescent="0.3">
      <c r="A113" s="3">
        <v>107</v>
      </c>
      <c r="B113" s="3" t="str">
        <f>"201900204228"</f>
        <v>201900204228</v>
      </c>
      <c r="C113" s="3" t="str">
        <f>"7170"</f>
        <v>7170</v>
      </c>
      <c r="D113" s="3" t="s">
        <v>587</v>
      </c>
      <c r="E113" s="3">
        <v>20127765279</v>
      </c>
      <c r="F113" s="3" t="s">
        <v>104</v>
      </c>
      <c r="G113" s="3" t="s">
        <v>588</v>
      </c>
      <c r="H113" s="3" t="s">
        <v>32</v>
      </c>
      <c r="I113" s="3" t="s">
        <v>32</v>
      </c>
      <c r="J113" s="3" t="s">
        <v>32</v>
      </c>
      <c r="K113" s="3" t="s">
        <v>33</v>
      </c>
      <c r="L113" s="3" t="s">
        <v>46</v>
      </c>
      <c r="M113" s="3" t="s">
        <v>115</v>
      </c>
      <c r="N113" s="3" t="s">
        <v>221</v>
      </c>
      <c r="O113" s="3" t="s">
        <v>36</v>
      </c>
      <c r="P113" s="3" t="s">
        <v>221</v>
      </c>
      <c r="Q113" s="3" t="s">
        <v>38</v>
      </c>
      <c r="R113" s="3" t="s">
        <v>67</v>
      </c>
      <c r="S113" s="3" t="s">
        <v>124</v>
      </c>
      <c r="T113" s="3"/>
      <c r="U113" s="3">
        <v>50000</v>
      </c>
      <c r="V113" s="3">
        <v>2500</v>
      </c>
      <c r="W113" s="3">
        <v>1250</v>
      </c>
      <c r="X113" s="3"/>
      <c r="Y113" s="4">
        <v>43811</v>
      </c>
      <c r="Z113" s="3" t="s">
        <v>40</v>
      </c>
      <c r="AA113" s="3" t="s">
        <v>109</v>
      </c>
      <c r="AB113" s="3">
        <v>0</v>
      </c>
    </row>
    <row r="114" spans="1:28" ht="27.95" x14ac:dyDescent="0.3">
      <c r="A114" s="5">
        <v>108</v>
      </c>
      <c r="B114" s="5" t="str">
        <f>"201800040131"</f>
        <v>201800040131</v>
      </c>
      <c r="C114" s="5" t="str">
        <f>"6976"</f>
        <v>6976</v>
      </c>
      <c r="D114" s="5" t="s">
        <v>589</v>
      </c>
      <c r="E114" s="5">
        <v>20511995028</v>
      </c>
      <c r="F114" s="5" t="s">
        <v>331</v>
      </c>
      <c r="G114" s="5" t="s">
        <v>590</v>
      </c>
      <c r="H114" s="5" t="s">
        <v>45</v>
      </c>
      <c r="I114" s="5" t="s">
        <v>324</v>
      </c>
      <c r="J114" s="5" t="s">
        <v>591</v>
      </c>
      <c r="K114" s="5" t="s">
        <v>33</v>
      </c>
      <c r="L114" s="5" t="s">
        <v>592</v>
      </c>
      <c r="M114" s="5" t="s">
        <v>593</v>
      </c>
      <c r="N114" s="5" t="s">
        <v>594</v>
      </c>
      <c r="O114" s="5" t="s">
        <v>595</v>
      </c>
      <c r="P114" s="5" t="s">
        <v>595</v>
      </c>
      <c r="Q114" s="5" t="s">
        <v>82</v>
      </c>
      <c r="R114" s="5" t="s">
        <v>566</v>
      </c>
      <c r="S114" s="5" t="s">
        <v>596</v>
      </c>
      <c r="T114" s="5"/>
      <c r="U114" s="5">
        <v>20000</v>
      </c>
      <c r="V114" s="5">
        <v>2750</v>
      </c>
      <c r="W114" s="5">
        <v>2000</v>
      </c>
      <c r="X114" s="5">
        <v>1400</v>
      </c>
      <c r="Y114" s="6">
        <v>43168</v>
      </c>
      <c r="Z114" s="5" t="s">
        <v>40</v>
      </c>
      <c r="AA114" s="5" t="s">
        <v>41</v>
      </c>
      <c r="AB114" s="5">
        <v>240</v>
      </c>
    </row>
    <row r="115" spans="1:28" ht="55.9" x14ac:dyDescent="0.3">
      <c r="A115" s="3">
        <v>109</v>
      </c>
      <c r="B115" s="3" t="str">
        <f>"201600104689"</f>
        <v>201600104689</v>
      </c>
      <c r="C115" s="3" t="str">
        <f>"39856"</f>
        <v>39856</v>
      </c>
      <c r="D115" s="3" t="s">
        <v>597</v>
      </c>
      <c r="E115" s="3">
        <v>20492197417</v>
      </c>
      <c r="F115" s="3" t="s">
        <v>598</v>
      </c>
      <c r="G115" s="3" t="s">
        <v>599</v>
      </c>
      <c r="H115" s="3" t="s">
        <v>197</v>
      </c>
      <c r="I115" s="3" t="s">
        <v>197</v>
      </c>
      <c r="J115" s="3" t="s">
        <v>198</v>
      </c>
      <c r="K115" s="3" t="s">
        <v>33</v>
      </c>
      <c r="L115" s="3" t="s">
        <v>54</v>
      </c>
      <c r="M115" s="3" t="s">
        <v>600</v>
      </c>
      <c r="N115" s="3" t="s">
        <v>600</v>
      </c>
      <c r="O115" s="3" t="s">
        <v>601</v>
      </c>
      <c r="P115" s="3" t="s">
        <v>602</v>
      </c>
      <c r="Q115" s="3" t="s">
        <v>60</v>
      </c>
      <c r="R115" s="3"/>
      <c r="S115" s="3"/>
      <c r="T115" s="3"/>
      <c r="U115" s="3">
        <v>20730</v>
      </c>
      <c r="V115" s="3">
        <v>3000</v>
      </c>
      <c r="W115" s="3">
        <v>2000</v>
      </c>
      <c r="X115" s="3">
        <v>1200</v>
      </c>
      <c r="Y115" s="4">
        <v>42572</v>
      </c>
      <c r="Z115" s="3" t="s">
        <v>40</v>
      </c>
      <c r="AA115" s="3" t="s">
        <v>603</v>
      </c>
      <c r="AB115" s="3">
        <v>720</v>
      </c>
    </row>
    <row r="116" spans="1:28" ht="41.95" x14ac:dyDescent="0.3">
      <c r="A116" s="5">
        <v>110</v>
      </c>
      <c r="B116" s="5" t="str">
        <f>"201800129552"</f>
        <v>201800129552</v>
      </c>
      <c r="C116" s="5" t="str">
        <f>"42769"</f>
        <v>42769</v>
      </c>
      <c r="D116" s="5" t="s">
        <v>604</v>
      </c>
      <c r="E116" s="5">
        <v>20503840121</v>
      </c>
      <c r="F116" s="5" t="s">
        <v>72</v>
      </c>
      <c r="G116" s="5" t="s">
        <v>605</v>
      </c>
      <c r="H116" s="5" t="s">
        <v>32</v>
      </c>
      <c r="I116" s="5" t="s">
        <v>32</v>
      </c>
      <c r="J116" s="5" t="s">
        <v>32</v>
      </c>
      <c r="K116" s="5" t="s">
        <v>33</v>
      </c>
      <c r="L116" s="5" t="s">
        <v>606</v>
      </c>
      <c r="M116" s="5" t="s">
        <v>364</v>
      </c>
      <c r="N116" s="5" t="s">
        <v>93</v>
      </c>
      <c r="O116" s="5" t="s">
        <v>347</v>
      </c>
      <c r="P116" s="5"/>
      <c r="Q116" s="5"/>
      <c r="R116" s="5"/>
      <c r="S116" s="5"/>
      <c r="T116" s="5"/>
      <c r="U116" s="5">
        <v>28000</v>
      </c>
      <c r="V116" s="5">
        <v>3200</v>
      </c>
      <c r="W116" s="5">
        <v>1250</v>
      </c>
      <c r="X116" s="5">
        <v>1415</v>
      </c>
      <c r="Y116" s="6">
        <v>43325</v>
      </c>
      <c r="Z116" s="5" t="s">
        <v>40</v>
      </c>
      <c r="AA116" s="5" t="s">
        <v>247</v>
      </c>
      <c r="AB116" s="5">
        <v>0</v>
      </c>
    </row>
    <row r="117" spans="1:28" ht="27.95" x14ac:dyDescent="0.3">
      <c r="A117" s="3">
        <v>111</v>
      </c>
      <c r="B117" s="3" t="str">
        <f>"201800003288"</f>
        <v>201800003288</v>
      </c>
      <c r="C117" s="3" t="str">
        <f>"9513"</f>
        <v>9513</v>
      </c>
      <c r="D117" s="3" t="s">
        <v>607</v>
      </c>
      <c r="E117" s="3">
        <v>20193386220</v>
      </c>
      <c r="F117" s="3" t="s">
        <v>608</v>
      </c>
      <c r="G117" s="3" t="s">
        <v>609</v>
      </c>
      <c r="H117" s="3" t="s">
        <v>32</v>
      </c>
      <c r="I117" s="3" t="s">
        <v>32</v>
      </c>
      <c r="J117" s="3" t="s">
        <v>250</v>
      </c>
      <c r="K117" s="3" t="s">
        <v>33</v>
      </c>
      <c r="L117" s="3" t="s">
        <v>75</v>
      </c>
      <c r="M117" s="3" t="s">
        <v>91</v>
      </c>
      <c r="N117" s="3" t="s">
        <v>278</v>
      </c>
      <c r="O117" s="3" t="s">
        <v>38</v>
      </c>
      <c r="P117" s="3" t="s">
        <v>56</v>
      </c>
      <c r="Q117" s="3" t="s">
        <v>131</v>
      </c>
      <c r="R117" s="3"/>
      <c r="S117" s="3"/>
      <c r="T117" s="3"/>
      <c r="U117" s="3">
        <v>25000</v>
      </c>
      <c r="V117" s="3">
        <v>3200</v>
      </c>
      <c r="W117" s="3">
        <v>3900</v>
      </c>
      <c r="X117" s="3">
        <v>1</v>
      </c>
      <c r="Y117" s="4">
        <v>43117</v>
      </c>
      <c r="Z117" s="3" t="s">
        <v>40</v>
      </c>
      <c r="AA117" s="3" t="s">
        <v>610</v>
      </c>
      <c r="AB117" s="3">
        <v>240</v>
      </c>
    </row>
    <row r="118" spans="1:28" ht="27.95" x14ac:dyDescent="0.3">
      <c r="A118" s="5">
        <v>112</v>
      </c>
      <c r="B118" s="5" t="str">
        <f>"201800040072"</f>
        <v>201800040072</v>
      </c>
      <c r="C118" s="5" t="str">
        <f>"33179"</f>
        <v>33179</v>
      </c>
      <c r="D118" s="5" t="s">
        <v>611</v>
      </c>
      <c r="E118" s="5">
        <v>20511995028</v>
      </c>
      <c r="F118" s="5" t="s">
        <v>30</v>
      </c>
      <c r="G118" s="5" t="s">
        <v>612</v>
      </c>
      <c r="H118" s="5" t="s">
        <v>32</v>
      </c>
      <c r="I118" s="5" t="s">
        <v>32</v>
      </c>
      <c r="J118" s="5" t="s">
        <v>143</v>
      </c>
      <c r="K118" s="5" t="s">
        <v>33</v>
      </c>
      <c r="L118" s="5" t="s">
        <v>46</v>
      </c>
      <c r="M118" s="5" t="s">
        <v>613</v>
      </c>
      <c r="N118" s="5" t="s">
        <v>614</v>
      </c>
      <c r="O118" s="5" t="s">
        <v>333</v>
      </c>
      <c r="P118" s="5"/>
      <c r="Q118" s="5"/>
      <c r="R118" s="5"/>
      <c r="S118" s="5"/>
      <c r="T118" s="5"/>
      <c r="U118" s="5">
        <v>21000</v>
      </c>
      <c r="V118" s="5">
        <v>2500</v>
      </c>
      <c r="W118" s="5">
        <v>4000</v>
      </c>
      <c r="X118" s="5">
        <v>900</v>
      </c>
      <c r="Y118" s="6">
        <v>43178</v>
      </c>
      <c r="Z118" s="5" t="s">
        <v>40</v>
      </c>
      <c r="AA118" s="5" t="s">
        <v>41</v>
      </c>
      <c r="AB118" s="5">
        <v>240</v>
      </c>
    </row>
    <row r="119" spans="1:28" ht="27.95" x14ac:dyDescent="0.3">
      <c r="A119" s="3">
        <v>113</v>
      </c>
      <c r="B119" s="3" t="str">
        <f>"201400037593"</f>
        <v>201400037593</v>
      </c>
      <c r="C119" s="3" t="str">
        <f>"7524"</f>
        <v>7524</v>
      </c>
      <c r="D119" s="3" t="s">
        <v>615</v>
      </c>
      <c r="E119" s="3">
        <v>20161800920</v>
      </c>
      <c r="F119" s="3" t="s">
        <v>616</v>
      </c>
      <c r="G119" s="3" t="s">
        <v>617</v>
      </c>
      <c r="H119" s="3" t="s">
        <v>32</v>
      </c>
      <c r="I119" s="3" t="s">
        <v>32</v>
      </c>
      <c r="J119" s="3" t="s">
        <v>74</v>
      </c>
      <c r="K119" s="3" t="s">
        <v>33</v>
      </c>
      <c r="L119" s="3" t="s">
        <v>54</v>
      </c>
      <c r="M119" s="3" t="s">
        <v>618</v>
      </c>
      <c r="N119" s="3" t="s">
        <v>618</v>
      </c>
      <c r="O119" s="3" t="s">
        <v>618</v>
      </c>
      <c r="P119" s="3" t="s">
        <v>618</v>
      </c>
      <c r="Q119" s="3" t="s">
        <v>619</v>
      </c>
      <c r="R119" s="3" t="s">
        <v>620</v>
      </c>
      <c r="S119" s="3"/>
      <c r="T119" s="3"/>
      <c r="U119" s="3">
        <v>38250</v>
      </c>
      <c r="V119" s="3">
        <v>3000</v>
      </c>
      <c r="W119" s="3">
        <v>1000</v>
      </c>
      <c r="X119" s="3">
        <v>1467</v>
      </c>
      <c r="Y119" s="4">
        <v>41726</v>
      </c>
      <c r="Z119" s="3" t="s">
        <v>40</v>
      </c>
      <c r="AA119" s="3" t="s">
        <v>288</v>
      </c>
      <c r="AB119" s="3">
        <v>0</v>
      </c>
    </row>
    <row r="120" spans="1:28" ht="27.95" x14ac:dyDescent="0.3">
      <c r="A120" s="5">
        <v>114</v>
      </c>
      <c r="B120" s="5" t="str">
        <f>"201500063531"</f>
        <v>201500063531</v>
      </c>
      <c r="C120" s="5" t="str">
        <f>"94684"</f>
        <v>94684</v>
      </c>
      <c r="D120" s="5" t="s">
        <v>621</v>
      </c>
      <c r="E120" s="5">
        <v>20538108295</v>
      </c>
      <c r="F120" s="5" t="s">
        <v>622</v>
      </c>
      <c r="G120" s="5" t="s">
        <v>623</v>
      </c>
      <c r="H120" s="5" t="s">
        <v>32</v>
      </c>
      <c r="I120" s="5" t="s">
        <v>32</v>
      </c>
      <c r="J120" s="5" t="s">
        <v>383</v>
      </c>
      <c r="K120" s="5" t="s">
        <v>33</v>
      </c>
      <c r="L120" s="5" t="s">
        <v>624</v>
      </c>
      <c r="M120" s="5" t="s">
        <v>625</v>
      </c>
      <c r="N120" s="5" t="s">
        <v>131</v>
      </c>
      <c r="O120" s="5"/>
      <c r="P120" s="5"/>
      <c r="Q120" s="5"/>
      <c r="R120" s="5"/>
      <c r="S120" s="5"/>
      <c r="T120" s="5"/>
      <c r="U120" s="5">
        <v>16000</v>
      </c>
      <c r="V120" s="5">
        <v>3200</v>
      </c>
      <c r="W120" s="5">
        <v>2000</v>
      </c>
      <c r="X120" s="5">
        <v>1388</v>
      </c>
      <c r="Y120" s="6">
        <v>42156</v>
      </c>
      <c r="Z120" s="5" t="s">
        <v>40</v>
      </c>
      <c r="AA120" s="5" t="s">
        <v>626</v>
      </c>
      <c r="AB120" s="5">
        <v>0</v>
      </c>
    </row>
    <row r="121" spans="1:28" ht="27.95" x14ac:dyDescent="0.3">
      <c r="A121" s="3">
        <v>115</v>
      </c>
      <c r="B121" s="3" t="str">
        <f>"201800103898"</f>
        <v>201800103898</v>
      </c>
      <c r="C121" s="3" t="str">
        <f>"41375"</f>
        <v>41375</v>
      </c>
      <c r="D121" s="3" t="s">
        <v>627</v>
      </c>
      <c r="E121" s="3">
        <v>20503840121</v>
      </c>
      <c r="F121" s="3" t="s">
        <v>72</v>
      </c>
      <c r="G121" s="3" t="s">
        <v>628</v>
      </c>
      <c r="H121" s="3" t="s">
        <v>32</v>
      </c>
      <c r="I121" s="3" t="s">
        <v>32</v>
      </c>
      <c r="J121" s="3" t="s">
        <v>475</v>
      </c>
      <c r="K121" s="3" t="s">
        <v>33</v>
      </c>
      <c r="L121" s="3" t="s">
        <v>75</v>
      </c>
      <c r="M121" s="3" t="s">
        <v>326</v>
      </c>
      <c r="N121" s="3" t="s">
        <v>346</v>
      </c>
      <c r="O121" s="3"/>
      <c r="P121" s="3"/>
      <c r="Q121" s="3"/>
      <c r="R121" s="3"/>
      <c r="S121" s="3"/>
      <c r="T121" s="3"/>
      <c r="U121" s="3">
        <v>16000</v>
      </c>
      <c r="V121" s="3">
        <v>3200</v>
      </c>
      <c r="W121" s="3">
        <v>1000</v>
      </c>
      <c r="X121" s="3">
        <v>1467</v>
      </c>
      <c r="Y121" s="4">
        <v>43279</v>
      </c>
      <c r="Z121" s="3" t="s">
        <v>40</v>
      </c>
      <c r="AA121" s="3" t="s">
        <v>247</v>
      </c>
      <c r="AB121" s="3">
        <v>0</v>
      </c>
    </row>
    <row r="122" spans="1:28" ht="27.95" x14ac:dyDescent="0.3">
      <c r="A122" s="5">
        <v>116</v>
      </c>
      <c r="B122" s="5" t="str">
        <f>"201800009926"</f>
        <v>201800009926</v>
      </c>
      <c r="C122" s="5" t="str">
        <f>"6765"</f>
        <v>6765</v>
      </c>
      <c r="D122" s="5" t="s">
        <v>629</v>
      </c>
      <c r="E122" s="5">
        <v>20127765279</v>
      </c>
      <c r="F122" s="5" t="s">
        <v>104</v>
      </c>
      <c r="G122" s="5" t="s">
        <v>630</v>
      </c>
      <c r="H122" s="5" t="s">
        <v>32</v>
      </c>
      <c r="I122" s="5" t="s">
        <v>32</v>
      </c>
      <c r="J122" s="5" t="s">
        <v>631</v>
      </c>
      <c r="K122" s="5" t="s">
        <v>33</v>
      </c>
      <c r="L122" s="5" t="s">
        <v>46</v>
      </c>
      <c r="M122" s="5" t="s">
        <v>632</v>
      </c>
      <c r="N122" s="5" t="s">
        <v>633</v>
      </c>
      <c r="O122" s="5" t="s">
        <v>634</v>
      </c>
      <c r="P122" s="5" t="s">
        <v>635</v>
      </c>
      <c r="Q122" s="5"/>
      <c r="R122" s="5"/>
      <c r="S122" s="5"/>
      <c r="T122" s="5"/>
      <c r="U122" s="5">
        <v>31704</v>
      </c>
      <c r="V122" s="5">
        <v>2500</v>
      </c>
      <c r="W122" s="5">
        <v>1250</v>
      </c>
      <c r="X122" s="5">
        <v>800</v>
      </c>
      <c r="Y122" s="6">
        <v>43132</v>
      </c>
      <c r="Z122" s="5" t="s">
        <v>40</v>
      </c>
      <c r="AA122" s="5" t="s">
        <v>203</v>
      </c>
      <c r="AB122" s="5">
        <v>240</v>
      </c>
    </row>
    <row r="123" spans="1:28" x14ac:dyDescent="0.3">
      <c r="A123" s="3">
        <v>117</v>
      </c>
      <c r="B123" s="3" t="str">
        <f>"201900053963"</f>
        <v>201900053963</v>
      </c>
      <c r="C123" s="3" t="str">
        <f>"9021"</f>
        <v>9021</v>
      </c>
      <c r="D123" s="3" t="s">
        <v>636</v>
      </c>
      <c r="E123" s="3">
        <v>20535614548</v>
      </c>
      <c r="F123" s="3" t="s">
        <v>637</v>
      </c>
      <c r="G123" s="3" t="s">
        <v>638</v>
      </c>
      <c r="H123" s="3" t="s">
        <v>32</v>
      </c>
      <c r="I123" s="3" t="s">
        <v>32</v>
      </c>
      <c r="J123" s="3" t="s">
        <v>65</v>
      </c>
      <c r="K123" s="3" t="s">
        <v>33</v>
      </c>
      <c r="L123" s="3" t="s">
        <v>639</v>
      </c>
      <c r="M123" s="3" t="s">
        <v>640</v>
      </c>
      <c r="N123" s="3" t="s">
        <v>641</v>
      </c>
      <c r="O123" s="3" t="s">
        <v>364</v>
      </c>
      <c r="P123" s="3"/>
      <c r="Q123" s="3"/>
      <c r="R123" s="3"/>
      <c r="S123" s="3"/>
      <c r="T123" s="3"/>
      <c r="U123" s="3">
        <v>25600</v>
      </c>
      <c r="V123" s="3">
        <v>3000</v>
      </c>
      <c r="W123" s="3">
        <v>3840</v>
      </c>
      <c r="X123" s="3">
        <v>1401</v>
      </c>
      <c r="Y123" s="4">
        <v>43558</v>
      </c>
      <c r="Z123" s="3" t="s">
        <v>40</v>
      </c>
      <c r="AA123" s="3" t="s">
        <v>642</v>
      </c>
      <c r="AB123" s="3">
        <v>720</v>
      </c>
    </row>
    <row r="124" spans="1:28" ht="27.95" x14ac:dyDescent="0.3">
      <c r="A124" s="5">
        <v>118</v>
      </c>
      <c r="B124" s="5" t="str">
        <f>"201800121331"</f>
        <v>201800121331</v>
      </c>
      <c r="C124" s="5" t="str">
        <f>"39248"</f>
        <v>39248</v>
      </c>
      <c r="D124" s="5" t="s">
        <v>643</v>
      </c>
      <c r="E124" s="5">
        <v>20478967111</v>
      </c>
      <c r="F124" s="5" t="s">
        <v>644</v>
      </c>
      <c r="G124" s="5" t="s">
        <v>645</v>
      </c>
      <c r="H124" s="5" t="s">
        <v>32</v>
      </c>
      <c r="I124" s="5" t="s">
        <v>32</v>
      </c>
      <c r="J124" s="5" t="s">
        <v>215</v>
      </c>
      <c r="K124" s="5" t="s">
        <v>33</v>
      </c>
      <c r="L124" s="5" t="s">
        <v>75</v>
      </c>
      <c r="M124" s="5" t="s">
        <v>646</v>
      </c>
      <c r="N124" s="5" t="s">
        <v>647</v>
      </c>
      <c r="O124" s="5" t="s">
        <v>648</v>
      </c>
      <c r="P124" s="5"/>
      <c r="Q124" s="5"/>
      <c r="R124" s="5"/>
      <c r="S124" s="5"/>
      <c r="T124" s="5"/>
      <c r="U124" s="5">
        <v>15300</v>
      </c>
      <c r="V124" s="5">
        <v>3200</v>
      </c>
      <c r="W124" s="5">
        <v>1800</v>
      </c>
      <c r="X124" s="5">
        <v>1420</v>
      </c>
      <c r="Y124" s="6">
        <v>43305</v>
      </c>
      <c r="Z124" s="5" t="s">
        <v>40</v>
      </c>
      <c r="AA124" s="5" t="s">
        <v>649</v>
      </c>
      <c r="AB124" s="5">
        <v>0</v>
      </c>
    </row>
    <row r="125" spans="1:28" ht="27.95" x14ac:dyDescent="0.3">
      <c r="A125" s="3">
        <v>119</v>
      </c>
      <c r="B125" s="3" t="str">
        <f>"201800164212"</f>
        <v>201800164212</v>
      </c>
      <c r="C125" s="3" t="str">
        <f>"9113"</f>
        <v>9113</v>
      </c>
      <c r="D125" s="3" t="s">
        <v>650</v>
      </c>
      <c r="E125" s="3">
        <v>20127765279</v>
      </c>
      <c r="F125" s="3" t="s">
        <v>104</v>
      </c>
      <c r="G125" s="3" t="s">
        <v>651</v>
      </c>
      <c r="H125" s="3" t="s">
        <v>32</v>
      </c>
      <c r="I125" s="3" t="s">
        <v>32</v>
      </c>
      <c r="J125" s="3" t="s">
        <v>631</v>
      </c>
      <c r="K125" s="3" t="s">
        <v>33</v>
      </c>
      <c r="L125" s="3" t="s">
        <v>46</v>
      </c>
      <c r="M125" s="3" t="s">
        <v>326</v>
      </c>
      <c r="N125" s="3" t="s">
        <v>37</v>
      </c>
      <c r="O125" s="3" t="s">
        <v>35</v>
      </c>
      <c r="P125" s="3"/>
      <c r="Q125" s="3"/>
      <c r="R125" s="3"/>
      <c r="S125" s="3"/>
      <c r="T125" s="3"/>
      <c r="U125" s="3">
        <v>24000</v>
      </c>
      <c r="V125" s="3">
        <v>2500</v>
      </c>
      <c r="W125" s="3">
        <v>2000</v>
      </c>
      <c r="X125" s="3"/>
      <c r="Y125" s="4">
        <v>43375</v>
      </c>
      <c r="Z125" s="3" t="s">
        <v>40</v>
      </c>
      <c r="AA125" s="3" t="s">
        <v>203</v>
      </c>
      <c r="AB125" s="3">
        <v>480</v>
      </c>
    </row>
    <row r="126" spans="1:28" x14ac:dyDescent="0.3">
      <c r="A126" s="5">
        <v>120</v>
      </c>
      <c r="B126" s="5" t="str">
        <f>"201800176950"</f>
        <v>201800176950</v>
      </c>
      <c r="C126" s="5" t="str">
        <f>"19955"</f>
        <v>19955</v>
      </c>
      <c r="D126" s="5" t="s">
        <v>652</v>
      </c>
      <c r="E126" s="5">
        <v>20511995028</v>
      </c>
      <c r="F126" s="5" t="s">
        <v>30</v>
      </c>
      <c r="G126" s="5" t="s">
        <v>653</v>
      </c>
      <c r="H126" s="5" t="s">
        <v>32</v>
      </c>
      <c r="I126" s="5" t="s">
        <v>32</v>
      </c>
      <c r="J126" s="5" t="s">
        <v>65</v>
      </c>
      <c r="K126" s="5" t="s">
        <v>33</v>
      </c>
      <c r="L126" s="5" t="s">
        <v>75</v>
      </c>
      <c r="M126" s="5" t="s">
        <v>37</v>
      </c>
      <c r="N126" s="5" t="s">
        <v>36</v>
      </c>
      <c r="O126" s="5" t="s">
        <v>36</v>
      </c>
      <c r="P126" s="5" t="s">
        <v>38</v>
      </c>
      <c r="Q126" s="5" t="s">
        <v>654</v>
      </c>
      <c r="R126" s="5" t="s">
        <v>131</v>
      </c>
      <c r="S126" s="5"/>
      <c r="T126" s="5"/>
      <c r="U126" s="5">
        <v>36000</v>
      </c>
      <c r="V126" s="5">
        <v>3200</v>
      </c>
      <c r="W126" s="5">
        <v>1250</v>
      </c>
      <c r="X126" s="5">
        <v>1080</v>
      </c>
      <c r="Y126" s="6">
        <v>43398</v>
      </c>
      <c r="Z126" s="5" t="s">
        <v>40</v>
      </c>
      <c r="AA126" s="5" t="s">
        <v>655</v>
      </c>
      <c r="AB126" s="5">
        <v>0</v>
      </c>
    </row>
    <row r="127" spans="1:28" ht="27.95" x14ac:dyDescent="0.3">
      <c r="A127" s="3">
        <v>121</v>
      </c>
      <c r="B127" s="3" t="str">
        <f>"202000127306"</f>
        <v>202000127306</v>
      </c>
      <c r="C127" s="3" t="str">
        <f>"7955"</f>
        <v>7955</v>
      </c>
      <c r="D127" s="3" t="s">
        <v>656</v>
      </c>
      <c r="E127" s="3">
        <v>20127765279</v>
      </c>
      <c r="F127" s="3" t="s">
        <v>104</v>
      </c>
      <c r="G127" s="3" t="s">
        <v>657</v>
      </c>
      <c r="H127" s="3" t="s">
        <v>32</v>
      </c>
      <c r="I127" s="3" t="s">
        <v>32</v>
      </c>
      <c r="J127" s="3" t="s">
        <v>90</v>
      </c>
      <c r="K127" s="3" t="s">
        <v>33</v>
      </c>
      <c r="L127" s="3" t="s">
        <v>54</v>
      </c>
      <c r="M127" s="3" t="s">
        <v>38</v>
      </c>
      <c r="N127" s="3" t="s">
        <v>35</v>
      </c>
      <c r="O127" s="3" t="s">
        <v>36</v>
      </c>
      <c r="P127" s="3" t="s">
        <v>37</v>
      </c>
      <c r="Q127" s="3"/>
      <c r="R127" s="3"/>
      <c r="S127" s="3"/>
      <c r="T127" s="3"/>
      <c r="U127" s="3">
        <v>32000</v>
      </c>
      <c r="V127" s="3">
        <v>3000</v>
      </c>
      <c r="W127" s="3">
        <v>2000</v>
      </c>
      <c r="X127" s="3"/>
      <c r="Y127" s="4">
        <v>44106</v>
      </c>
      <c r="Z127" s="3" t="s">
        <v>40</v>
      </c>
      <c r="AA127" s="3" t="s">
        <v>203</v>
      </c>
      <c r="AB127" s="3">
        <v>240</v>
      </c>
    </row>
    <row r="128" spans="1:28" ht="27.95" x14ac:dyDescent="0.3">
      <c r="A128" s="5">
        <v>122</v>
      </c>
      <c r="B128" s="5" t="str">
        <f>"201900204211"</f>
        <v>201900204211</v>
      </c>
      <c r="C128" s="5" t="str">
        <f>"8479"</f>
        <v>8479</v>
      </c>
      <c r="D128" s="5" t="s">
        <v>658</v>
      </c>
      <c r="E128" s="5">
        <v>20330033313</v>
      </c>
      <c r="F128" s="5" t="s">
        <v>104</v>
      </c>
      <c r="G128" s="5" t="s">
        <v>659</v>
      </c>
      <c r="H128" s="5" t="s">
        <v>32</v>
      </c>
      <c r="I128" s="5" t="s">
        <v>32</v>
      </c>
      <c r="J128" s="5" t="s">
        <v>90</v>
      </c>
      <c r="K128" s="5" t="s">
        <v>33</v>
      </c>
      <c r="L128" s="5" t="s">
        <v>46</v>
      </c>
      <c r="M128" s="5" t="s">
        <v>36</v>
      </c>
      <c r="N128" s="5" t="s">
        <v>199</v>
      </c>
      <c r="O128" s="5" t="s">
        <v>38</v>
      </c>
      <c r="P128" s="5"/>
      <c r="Q128" s="5"/>
      <c r="R128" s="5"/>
      <c r="S128" s="5"/>
      <c r="T128" s="5"/>
      <c r="U128" s="5">
        <v>24000</v>
      </c>
      <c r="V128" s="5">
        <v>2500</v>
      </c>
      <c r="W128" s="5">
        <v>2000</v>
      </c>
      <c r="X128" s="5"/>
      <c r="Y128" s="6">
        <v>43811</v>
      </c>
      <c r="Z128" s="5" t="s">
        <v>40</v>
      </c>
      <c r="AA128" s="5" t="s">
        <v>109</v>
      </c>
      <c r="AB128" s="5">
        <v>240</v>
      </c>
    </row>
    <row r="129" spans="1:28" ht="27.95" x14ac:dyDescent="0.3">
      <c r="A129" s="3">
        <v>123</v>
      </c>
      <c r="B129" s="3" t="str">
        <f>"202000043974"</f>
        <v>202000043974</v>
      </c>
      <c r="C129" s="3" t="str">
        <f>"9256"</f>
        <v>9256</v>
      </c>
      <c r="D129" s="3" t="s">
        <v>660</v>
      </c>
      <c r="E129" s="3">
        <v>20506151547</v>
      </c>
      <c r="F129" s="3" t="s">
        <v>213</v>
      </c>
      <c r="G129" s="3" t="s">
        <v>661</v>
      </c>
      <c r="H129" s="3" t="s">
        <v>206</v>
      </c>
      <c r="I129" s="3" t="s">
        <v>207</v>
      </c>
      <c r="J129" s="3" t="s">
        <v>208</v>
      </c>
      <c r="K129" s="3" t="s">
        <v>33</v>
      </c>
      <c r="L129" s="3" t="s">
        <v>75</v>
      </c>
      <c r="M129" s="3" t="s">
        <v>38</v>
      </c>
      <c r="N129" s="3" t="s">
        <v>662</v>
      </c>
      <c r="O129" s="3" t="s">
        <v>663</v>
      </c>
      <c r="P129" s="3"/>
      <c r="Q129" s="3"/>
      <c r="R129" s="3"/>
      <c r="S129" s="3"/>
      <c r="T129" s="3"/>
      <c r="U129" s="3">
        <v>20000</v>
      </c>
      <c r="V129" s="3">
        <v>3200</v>
      </c>
      <c r="W129" s="3">
        <v>0</v>
      </c>
      <c r="X129" s="3"/>
      <c r="Y129" s="4">
        <v>43914</v>
      </c>
      <c r="Z129" s="3" t="s">
        <v>40</v>
      </c>
      <c r="AA129" s="3" t="s">
        <v>139</v>
      </c>
      <c r="AB129" s="3">
        <v>0</v>
      </c>
    </row>
    <row r="130" spans="1:28" ht="27.95" x14ac:dyDescent="0.3">
      <c r="A130" s="5">
        <v>124</v>
      </c>
      <c r="B130" s="5" t="str">
        <f>"201800010849"</f>
        <v>201800010849</v>
      </c>
      <c r="C130" s="5" t="str">
        <f>"9593"</f>
        <v>9593</v>
      </c>
      <c r="D130" s="5" t="s">
        <v>664</v>
      </c>
      <c r="E130" s="5">
        <v>20127765279</v>
      </c>
      <c r="F130" s="5" t="s">
        <v>104</v>
      </c>
      <c r="G130" s="5" t="s">
        <v>665</v>
      </c>
      <c r="H130" s="5" t="s">
        <v>32</v>
      </c>
      <c r="I130" s="5" t="s">
        <v>32</v>
      </c>
      <c r="J130" s="5" t="s">
        <v>128</v>
      </c>
      <c r="K130" s="5" t="s">
        <v>33</v>
      </c>
      <c r="L130" s="5" t="s">
        <v>666</v>
      </c>
      <c r="M130" s="5" t="s">
        <v>481</v>
      </c>
      <c r="N130" s="5" t="s">
        <v>91</v>
      </c>
      <c r="O130" s="5" t="s">
        <v>60</v>
      </c>
      <c r="P130" s="5"/>
      <c r="Q130" s="5"/>
      <c r="R130" s="5"/>
      <c r="S130" s="5"/>
      <c r="T130" s="5"/>
      <c r="U130" s="5">
        <v>21000</v>
      </c>
      <c r="V130" s="5">
        <v>3000</v>
      </c>
      <c r="W130" s="5">
        <v>1250</v>
      </c>
      <c r="X130" s="5">
        <v>5080</v>
      </c>
      <c r="Y130" s="6">
        <v>43127</v>
      </c>
      <c r="Z130" s="5" t="s">
        <v>40</v>
      </c>
      <c r="AA130" s="5" t="s">
        <v>203</v>
      </c>
      <c r="AB130" s="5">
        <v>480</v>
      </c>
    </row>
    <row r="131" spans="1:28" ht="27.95" x14ac:dyDescent="0.3">
      <c r="A131" s="3">
        <v>125</v>
      </c>
      <c r="B131" s="3" t="str">
        <f>"201900032673"</f>
        <v>201900032673</v>
      </c>
      <c r="C131" s="3" t="str">
        <f>"18574"</f>
        <v>18574</v>
      </c>
      <c r="D131" s="3" t="s">
        <v>667</v>
      </c>
      <c r="E131" s="3">
        <v>20508196475</v>
      </c>
      <c r="F131" s="3" t="s">
        <v>583</v>
      </c>
      <c r="G131" s="3" t="s">
        <v>668</v>
      </c>
      <c r="H131" s="3" t="s">
        <v>32</v>
      </c>
      <c r="I131" s="3" t="s">
        <v>32</v>
      </c>
      <c r="J131" s="3" t="s">
        <v>106</v>
      </c>
      <c r="K131" s="3" t="s">
        <v>33</v>
      </c>
      <c r="L131" s="3" t="s">
        <v>46</v>
      </c>
      <c r="M131" s="3" t="s">
        <v>669</v>
      </c>
      <c r="N131" s="3" t="s">
        <v>670</v>
      </c>
      <c r="O131" s="3" t="s">
        <v>37</v>
      </c>
      <c r="P131" s="3" t="s">
        <v>68</v>
      </c>
      <c r="Q131" s="3" t="s">
        <v>68</v>
      </c>
      <c r="R131" s="3" t="s">
        <v>55</v>
      </c>
      <c r="S131" s="3"/>
      <c r="T131" s="3"/>
      <c r="U131" s="3">
        <v>46000</v>
      </c>
      <c r="V131" s="3">
        <v>2500</v>
      </c>
      <c r="W131" s="3">
        <v>2500</v>
      </c>
      <c r="X131" s="3"/>
      <c r="Y131" s="4">
        <v>43528</v>
      </c>
      <c r="Z131" s="3" t="s">
        <v>40</v>
      </c>
      <c r="AA131" s="3" t="s">
        <v>671</v>
      </c>
      <c r="AB131" s="3">
        <v>0</v>
      </c>
    </row>
    <row r="132" spans="1:28" x14ac:dyDescent="0.3">
      <c r="A132" s="5">
        <v>126</v>
      </c>
      <c r="B132" s="5" t="str">
        <f>"201900204210"</f>
        <v>201900204210</v>
      </c>
      <c r="C132" s="5" t="str">
        <f>"8538"</f>
        <v>8538</v>
      </c>
      <c r="D132" s="5" t="s">
        <v>672</v>
      </c>
      <c r="E132" s="5">
        <v>20127765279</v>
      </c>
      <c r="F132" s="5" t="s">
        <v>104</v>
      </c>
      <c r="G132" s="5" t="s">
        <v>673</v>
      </c>
      <c r="H132" s="5" t="s">
        <v>32</v>
      </c>
      <c r="I132" s="5" t="s">
        <v>32</v>
      </c>
      <c r="J132" s="5" t="s">
        <v>106</v>
      </c>
      <c r="K132" s="5" t="s">
        <v>33</v>
      </c>
      <c r="L132" s="5" t="s">
        <v>114</v>
      </c>
      <c r="M132" s="5" t="s">
        <v>221</v>
      </c>
      <c r="N132" s="5" t="s">
        <v>38</v>
      </c>
      <c r="O132" s="5" t="s">
        <v>36</v>
      </c>
      <c r="P132" s="5" t="s">
        <v>221</v>
      </c>
      <c r="Q132" s="5" t="s">
        <v>674</v>
      </c>
      <c r="R132" s="5"/>
      <c r="S132" s="5"/>
      <c r="T132" s="5"/>
      <c r="U132" s="5">
        <v>40000</v>
      </c>
      <c r="V132" s="5">
        <v>1500</v>
      </c>
      <c r="W132" s="5">
        <v>980</v>
      </c>
      <c r="X132" s="5"/>
      <c r="Y132" s="6">
        <v>43811</v>
      </c>
      <c r="Z132" s="5" t="s">
        <v>40</v>
      </c>
      <c r="AA132" s="5" t="s">
        <v>109</v>
      </c>
      <c r="AB132" s="5">
        <v>240</v>
      </c>
    </row>
    <row r="133" spans="1:28" ht="27.95" x14ac:dyDescent="0.3">
      <c r="A133" s="3">
        <v>127</v>
      </c>
      <c r="B133" s="3" t="str">
        <f>"201600074827"</f>
        <v>201600074827</v>
      </c>
      <c r="C133" s="3" t="str">
        <f>"44165"</f>
        <v>44165</v>
      </c>
      <c r="D133" s="3" t="s">
        <v>675</v>
      </c>
      <c r="E133" s="3">
        <v>20530743919</v>
      </c>
      <c r="F133" s="3" t="s">
        <v>676</v>
      </c>
      <c r="G133" s="3" t="s">
        <v>677</v>
      </c>
      <c r="H133" s="3" t="s">
        <v>32</v>
      </c>
      <c r="I133" s="3" t="s">
        <v>225</v>
      </c>
      <c r="J133" s="3" t="s">
        <v>678</v>
      </c>
      <c r="K133" s="3" t="s">
        <v>33</v>
      </c>
      <c r="L133" s="3" t="s">
        <v>54</v>
      </c>
      <c r="M133" s="3" t="s">
        <v>679</v>
      </c>
      <c r="N133" s="3" t="s">
        <v>680</v>
      </c>
      <c r="O133" s="3" t="s">
        <v>681</v>
      </c>
      <c r="P133" s="3" t="s">
        <v>682</v>
      </c>
      <c r="Q133" s="3"/>
      <c r="R133" s="3"/>
      <c r="S133" s="3"/>
      <c r="T133" s="3"/>
      <c r="U133" s="3">
        <v>7820</v>
      </c>
      <c r="V133" s="3">
        <v>3000</v>
      </c>
      <c r="W133" s="3">
        <v>0</v>
      </c>
      <c r="X133" s="3"/>
      <c r="Y133" s="4">
        <v>42510</v>
      </c>
      <c r="Z133" s="3" t="s">
        <v>40</v>
      </c>
      <c r="AA133" s="3" t="s">
        <v>683</v>
      </c>
      <c r="AB133" s="3">
        <v>0</v>
      </c>
    </row>
    <row r="134" spans="1:28" ht="27.95" x14ac:dyDescent="0.3">
      <c r="A134" s="5">
        <v>128</v>
      </c>
      <c r="B134" s="5" t="str">
        <f>"201700138614"</f>
        <v>201700138614</v>
      </c>
      <c r="C134" s="5" t="str">
        <f>"16723"</f>
        <v>16723</v>
      </c>
      <c r="D134" s="5" t="s">
        <v>684</v>
      </c>
      <c r="E134" s="5">
        <v>20377674686</v>
      </c>
      <c r="F134" s="5" t="s">
        <v>685</v>
      </c>
      <c r="G134" s="5" t="s">
        <v>686</v>
      </c>
      <c r="H134" s="5" t="s">
        <v>32</v>
      </c>
      <c r="I134" s="5" t="s">
        <v>32</v>
      </c>
      <c r="J134" s="5" t="s">
        <v>74</v>
      </c>
      <c r="K134" s="5" t="s">
        <v>33</v>
      </c>
      <c r="L134" s="5" t="s">
        <v>687</v>
      </c>
      <c r="M134" s="5" t="s">
        <v>68</v>
      </c>
      <c r="N134" s="5" t="s">
        <v>55</v>
      </c>
      <c r="O134" s="5" t="s">
        <v>688</v>
      </c>
      <c r="P134" s="5" t="s">
        <v>67</v>
      </c>
      <c r="Q134" s="5" t="s">
        <v>689</v>
      </c>
      <c r="R134" s="5" t="s">
        <v>67</v>
      </c>
      <c r="S134" s="5" t="s">
        <v>462</v>
      </c>
      <c r="T134" s="5" t="s">
        <v>68</v>
      </c>
      <c r="U134" s="5">
        <v>48000</v>
      </c>
      <c r="V134" s="5">
        <v>3400</v>
      </c>
      <c r="W134" s="5">
        <v>1250</v>
      </c>
      <c r="X134" s="5">
        <v>890</v>
      </c>
      <c r="Y134" s="6">
        <v>43004</v>
      </c>
      <c r="Z134" s="5" t="s">
        <v>40</v>
      </c>
      <c r="AA134" s="5" t="s">
        <v>690</v>
      </c>
      <c r="AB134" s="5">
        <v>240</v>
      </c>
    </row>
    <row r="135" spans="1:28" ht="27.95" x14ac:dyDescent="0.3">
      <c r="A135" s="3">
        <v>129</v>
      </c>
      <c r="B135" s="3" t="str">
        <f>"201700028243"</f>
        <v>201700028243</v>
      </c>
      <c r="C135" s="3" t="str">
        <f>"8609"</f>
        <v>8609</v>
      </c>
      <c r="D135" s="3" t="s">
        <v>691</v>
      </c>
      <c r="E135" s="3">
        <v>20512483683</v>
      </c>
      <c r="F135" s="3" t="s">
        <v>692</v>
      </c>
      <c r="G135" s="3" t="s">
        <v>693</v>
      </c>
      <c r="H135" s="3" t="s">
        <v>45</v>
      </c>
      <c r="I135" s="3" t="s">
        <v>45</v>
      </c>
      <c r="J135" s="3" t="s">
        <v>694</v>
      </c>
      <c r="K135" s="3" t="s">
        <v>33</v>
      </c>
      <c r="L135" s="3" t="s">
        <v>695</v>
      </c>
      <c r="M135" s="3" t="s">
        <v>38</v>
      </c>
      <c r="N135" s="3" t="s">
        <v>278</v>
      </c>
      <c r="O135" s="3" t="s">
        <v>68</v>
      </c>
      <c r="P135" s="3" t="s">
        <v>696</v>
      </c>
      <c r="Q135" s="3"/>
      <c r="R135" s="3"/>
      <c r="S135" s="3"/>
      <c r="T135" s="3"/>
      <c r="U135" s="3">
        <v>30000</v>
      </c>
      <c r="V135" s="3">
        <v>5000</v>
      </c>
      <c r="W135" s="3">
        <v>3900</v>
      </c>
      <c r="X135" s="3"/>
      <c r="Y135" s="4">
        <v>42793</v>
      </c>
      <c r="Z135" s="3" t="s">
        <v>40</v>
      </c>
      <c r="AA135" s="3" t="s">
        <v>697</v>
      </c>
      <c r="AB135" s="3">
        <v>0</v>
      </c>
    </row>
    <row r="136" spans="1:28" ht="27.95" x14ac:dyDescent="0.3">
      <c r="A136" s="5">
        <v>130</v>
      </c>
      <c r="B136" s="5" t="str">
        <f>"201800040142"</f>
        <v>201800040142</v>
      </c>
      <c r="C136" s="5" t="str">
        <f>"15496"</f>
        <v>15496</v>
      </c>
      <c r="D136" s="5" t="s">
        <v>698</v>
      </c>
      <c r="E136" s="5">
        <v>20511995028</v>
      </c>
      <c r="F136" s="5" t="s">
        <v>699</v>
      </c>
      <c r="G136" s="5" t="s">
        <v>700</v>
      </c>
      <c r="H136" s="5" t="s">
        <v>32</v>
      </c>
      <c r="I136" s="5" t="s">
        <v>32</v>
      </c>
      <c r="J136" s="5" t="s">
        <v>128</v>
      </c>
      <c r="K136" s="5" t="s">
        <v>33</v>
      </c>
      <c r="L136" s="5" t="s">
        <v>46</v>
      </c>
      <c r="M136" s="5" t="s">
        <v>701</v>
      </c>
      <c r="N136" s="5"/>
      <c r="O136" s="5"/>
      <c r="P136" s="5"/>
      <c r="Q136" s="5"/>
      <c r="R136" s="5"/>
      <c r="S136" s="5"/>
      <c r="T136" s="5"/>
      <c r="U136" s="5">
        <v>10000</v>
      </c>
      <c r="V136" s="5">
        <v>2500</v>
      </c>
      <c r="W136" s="5">
        <v>0</v>
      </c>
      <c r="X136" s="5"/>
      <c r="Y136" s="6">
        <v>43178</v>
      </c>
      <c r="Z136" s="5" t="s">
        <v>40</v>
      </c>
      <c r="AA136" s="5" t="s">
        <v>485</v>
      </c>
      <c r="AB136" s="5">
        <v>0</v>
      </c>
    </row>
    <row r="137" spans="1:28" ht="27.95" x14ac:dyDescent="0.3">
      <c r="A137" s="3">
        <v>131</v>
      </c>
      <c r="B137" s="3" t="str">
        <f>"202000043979"</f>
        <v>202000043979</v>
      </c>
      <c r="C137" s="3" t="str">
        <f>"114466"</f>
        <v>114466</v>
      </c>
      <c r="D137" s="3" t="s">
        <v>702</v>
      </c>
      <c r="E137" s="3">
        <v>20506151547</v>
      </c>
      <c r="F137" s="3" t="s">
        <v>213</v>
      </c>
      <c r="G137" s="3" t="s">
        <v>703</v>
      </c>
      <c r="H137" s="3" t="s">
        <v>45</v>
      </c>
      <c r="I137" s="3" t="s">
        <v>324</v>
      </c>
      <c r="J137" s="3" t="s">
        <v>325</v>
      </c>
      <c r="K137" s="3" t="s">
        <v>33</v>
      </c>
      <c r="L137" s="3" t="s">
        <v>123</v>
      </c>
      <c r="M137" s="3" t="s">
        <v>55</v>
      </c>
      <c r="N137" s="3" t="s">
        <v>56</v>
      </c>
      <c r="O137" s="3" t="s">
        <v>704</v>
      </c>
      <c r="P137" s="3"/>
      <c r="Q137" s="3"/>
      <c r="R137" s="3"/>
      <c r="S137" s="3"/>
      <c r="T137" s="3"/>
      <c r="U137" s="3">
        <v>16000</v>
      </c>
      <c r="V137" s="3">
        <v>3500</v>
      </c>
      <c r="W137" s="3">
        <v>1800</v>
      </c>
      <c r="X137" s="3"/>
      <c r="Y137" s="4">
        <v>43901</v>
      </c>
      <c r="Z137" s="3" t="s">
        <v>40</v>
      </c>
      <c r="AA137" s="3" t="s">
        <v>139</v>
      </c>
      <c r="AB137" s="3">
        <v>0</v>
      </c>
    </row>
    <row r="138" spans="1:28" ht="27.95" x14ac:dyDescent="0.3">
      <c r="A138" s="5">
        <v>132</v>
      </c>
      <c r="B138" s="5" t="str">
        <f>"201700041322"</f>
        <v>201700041322</v>
      </c>
      <c r="C138" s="5" t="str">
        <f>"104494"</f>
        <v>104494</v>
      </c>
      <c r="D138" s="5" t="s">
        <v>705</v>
      </c>
      <c r="E138" s="5">
        <v>20555690534</v>
      </c>
      <c r="F138" s="5" t="s">
        <v>706</v>
      </c>
      <c r="G138" s="5" t="s">
        <v>707</v>
      </c>
      <c r="H138" s="5" t="s">
        <v>32</v>
      </c>
      <c r="I138" s="5" t="s">
        <v>32</v>
      </c>
      <c r="J138" s="5" t="s">
        <v>74</v>
      </c>
      <c r="K138" s="5" t="s">
        <v>33</v>
      </c>
      <c r="L138" s="5" t="s">
        <v>708</v>
      </c>
      <c r="M138" s="5" t="s">
        <v>709</v>
      </c>
      <c r="N138" s="5" t="s">
        <v>710</v>
      </c>
      <c r="O138" s="5" t="s">
        <v>711</v>
      </c>
      <c r="P138" s="5" t="s">
        <v>712</v>
      </c>
      <c r="Q138" s="5"/>
      <c r="R138" s="5"/>
      <c r="S138" s="5"/>
      <c r="T138" s="5"/>
      <c r="U138" s="5">
        <v>24067</v>
      </c>
      <c r="V138" s="5">
        <v>4200</v>
      </c>
      <c r="W138" s="5">
        <v>2000</v>
      </c>
      <c r="X138" s="5">
        <v>1003</v>
      </c>
      <c r="Y138" s="6">
        <v>42816</v>
      </c>
      <c r="Z138" s="5" t="s">
        <v>40</v>
      </c>
      <c r="AA138" s="5" t="s">
        <v>713</v>
      </c>
      <c r="AB138" s="5">
        <v>720</v>
      </c>
    </row>
    <row r="139" spans="1:28" ht="27.95" x14ac:dyDescent="0.3">
      <c r="A139" s="3">
        <v>133</v>
      </c>
      <c r="B139" s="3" t="str">
        <f>"201800033643"</f>
        <v>201800033643</v>
      </c>
      <c r="C139" s="3" t="str">
        <f>"7124"</f>
        <v>7124</v>
      </c>
      <c r="D139" s="3" t="s">
        <v>714</v>
      </c>
      <c r="E139" s="3">
        <v>20127765279</v>
      </c>
      <c r="F139" s="3" t="s">
        <v>104</v>
      </c>
      <c r="G139" s="3" t="s">
        <v>715</v>
      </c>
      <c r="H139" s="3" t="s">
        <v>32</v>
      </c>
      <c r="I139" s="3" t="s">
        <v>32</v>
      </c>
      <c r="J139" s="3" t="s">
        <v>475</v>
      </c>
      <c r="K139" s="3" t="s">
        <v>33</v>
      </c>
      <c r="L139" s="3" t="s">
        <v>46</v>
      </c>
      <c r="M139" s="3" t="s">
        <v>716</v>
      </c>
      <c r="N139" s="3" t="s">
        <v>717</v>
      </c>
      <c r="O139" s="3" t="s">
        <v>718</v>
      </c>
      <c r="P139" s="3" t="s">
        <v>633</v>
      </c>
      <c r="Q139" s="3" t="s">
        <v>719</v>
      </c>
      <c r="R139" s="3"/>
      <c r="S139" s="3"/>
      <c r="T139" s="3"/>
      <c r="U139" s="3">
        <v>31704</v>
      </c>
      <c r="V139" s="3">
        <v>2500</v>
      </c>
      <c r="W139" s="3">
        <v>1000</v>
      </c>
      <c r="X139" s="3">
        <v>1105</v>
      </c>
      <c r="Y139" s="4">
        <v>43162</v>
      </c>
      <c r="Z139" s="3" t="s">
        <v>40</v>
      </c>
      <c r="AA139" s="3" t="s">
        <v>203</v>
      </c>
      <c r="AB139" s="3">
        <v>480</v>
      </c>
    </row>
    <row r="140" spans="1:28" ht="27.95" x14ac:dyDescent="0.3">
      <c r="A140" s="5">
        <v>134</v>
      </c>
      <c r="B140" s="5" t="str">
        <f>"201800010844"</f>
        <v>201800010844</v>
      </c>
      <c r="C140" s="5" t="str">
        <f>"7109"</f>
        <v>7109</v>
      </c>
      <c r="D140" s="5" t="s">
        <v>720</v>
      </c>
      <c r="E140" s="5">
        <v>20127765279</v>
      </c>
      <c r="F140" s="5" t="s">
        <v>104</v>
      </c>
      <c r="G140" s="5" t="s">
        <v>721</v>
      </c>
      <c r="H140" s="5" t="s">
        <v>32</v>
      </c>
      <c r="I140" s="5" t="s">
        <v>32</v>
      </c>
      <c r="J140" s="5" t="s">
        <v>32</v>
      </c>
      <c r="K140" s="5" t="s">
        <v>33</v>
      </c>
      <c r="L140" s="5" t="s">
        <v>163</v>
      </c>
      <c r="M140" s="5" t="s">
        <v>68</v>
      </c>
      <c r="N140" s="5" t="s">
        <v>55</v>
      </c>
      <c r="O140" s="5" t="s">
        <v>57</v>
      </c>
      <c r="P140" s="5" t="s">
        <v>48</v>
      </c>
      <c r="Q140" s="5"/>
      <c r="R140" s="5"/>
      <c r="S140" s="5"/>
      <c r="T140" s="5"/>
      <c r="U140" s="5">
        <v>20000</v>
      </c>
      <c r="V140" s="5">
        <v>2500</v>
      </c>
      <c r="W140" s="5">
        <v>1250</v>
      </c>
      <c r="X140" s="5">
        <v>1080</v>
      </c>
      <c r="Y140" s="6">
        <v>43127</v>
      </c>
      <c r="Z140" s="5" t="s">
        <v>40</v>
      </c>
      <c r="AA140" s="5" t="s">
        <v>203</v>
      </c>
      <c r="AB140" s="5">
        <v>480</v>
      </c>
    </row>
    <row r="141" spans="1:28" ht="27.95" x14ac:dyDescent="0.3">
      <c r="A141" s="3">
        <v>135</v>
      </c>
      <c r="B141" s="3" t="str">
        <f>"201900217097"</f>
        <v>201900217097</v>
      </c>
      <c r="C141" s="3" t="str">
        <f>"7325"</f>
        <v>7325</v>
      </c>
      <c r="D141" s="3" t="s">
        <v>722</v>
      </c>
      <c r="E141" s="3">
        <v>20100111838</v>
      </c>
      <c r="F141" s="3" t="s">
        <v>111</v>
      </c>
      <c r="G141" s="3" t="s">
        <v>723</v>
      </c>
      <c r="H141" s="3" t="s">
        <v>45</v>
      </c>
      <c r="I141" s="3" t="s">
        <v>45</v>
      </c>
      <c r="J141" s="3" t="s">
        <v>694</v>
      </c>
      <c r="K141" s="3" t="s">
        <v>33</v>
      </c>
      <c r="L141" s="3" t="s">
        <v>34</v>
      </c>
      <c r="M141" s="3" t="s">
        <v>724</v>
      </c>
      <c r="N141" s="3" t="s">
        <v>725</v>
      </c>
      <c r="O141" s="3" t="s">
        <v>58</v>
      </c>
      <c r="P141" s="3" t="s">
        <v>726</v>
      </c>
      <c r="Q141" s="3"/>
      <c r="R141" s="3"/>
      <c r="S141" s="3"/>
      <c r="T141" s="3"/>
      <c r="U141" s="3">
        <v>14500</v>
      </c>
      <c r="V141" s="3">
        <v>2000</v>
      </c>
      <c r="W141" s="3">
        <v>12</v>
      </c>
      <c r="X141" s="3"/>
      <c r="Y141" s="4">
        <v>43829</v>
      </c>
      <c r="Z141" s="3" t="s">
        <v>40</v>
      </c>
      <c r="AA141" s="3" t="s">
        <v>118</v>
      </c>
      <c r="AB141" s="3">
        <v>0</v>
      </c>
    </row>
    <row r="142" spans="1:28" ht="27.95" x14ac:dyDescent="0.3">
      <c r="A142" s="5">
        <v>136</v>
      </c>
      <c r="B142" s="5" t="str">
        <f>"202000058440"</f>
        <v>202000058440</v>
      </c>
      <c r="C142" s="5" t="str">
        <f>"60668"</f>
        <v>60668</v>
      </c>
      <c r="D142" s="5" t="s">
        <v>727</v>
      </c>
      <c r="E142" s="5">
        <v>20600629825</v>
      </c>
      <c r="F142" s="5" t="s">
        <v>728</v>
      </c>
      <c r="G142" s="5" t="s">
        <v>729</v>
      </c>
      <c r="H142" s="5" t="s">
        <v>32</v>
      </c>
      <c r="I142" s="5" t="s">
        <v>32</v>
      </c>
      <c r="J142" s="5" t="s">
        <v>495</v>
      </c>
      <c r="K142" s="5" t="s">
        <v>33</v>
      </c>
      <c r="L142" s="5" t="s">
        <v>496</v>
      </c>
      <c r="M142" s="5" t="s">
        <v>38</v>
      </c>
      <c r="N142" s="5" t="s">
        <v>730</v>
      </c>
      <c r="O142" s="5"/>
      <c r="P142" s="5"/>
      <c r="Q142" s="5"/>
      <c r="R142" s="5"/>
      <c r="S142" s="5"/>
      <c r="T142" s="5"/>
      <c r="U142" s="5">
        <v>14000</v>
      </c>
      <c r="V142" s="5">
        <v>4300</v>
      </c>
      <c r="W142" s="5">
        <v>3902</v>
      </c>
      <c r="X142" s="5"/>
      <c r="Y142" s="6">
        <v>44042</v>
      </c>
      <c r="Z142" s="5" t="s">
        <v>40</v>
      </c>
      <c r="AA142" s="5" t="s">
        <v>731</v>
      </c>
      <c r="AB142" s="5">
        <v>0</v>
      </c>
    </row>
    <row r="143" spans="1:28" ht="27.95" x14ac:dyDescent="0.3">
      <c r="A143" s="3">
        <v>137</v>
      </c>
      <c r="B143" s="3" t="str">
        <f>"201700174722"</f>
        <v>201700174722</v>
      </c>
      <c r="C143" s="3" t="str">
        <f>"44632"</f>
        <v>44632</v>
      </c>
      <c r="D143" s="3" t="s">
        <v>732</v>
      </c>
      <c r="E143" s="3">
        <v>20515528734</v>
      </c>
      <c r="F143" s="3" t="s">
        <v>733</v>
      </c>
      <c r="G143" s="3" t="s">
        <v>734</v>
      </c>
      <c r="H143" s="3" t="s">
        <v>32</v>
      </c>
      <c r="I143" s="3" t="s">
        <v>261</v>
      </c>
      <c r="J143" s="3" t="s">
        <v>262</v>
      </c>
      <c r="K143" s="3" t="s">
        <v>33</v>
      </c>
      <c r="L143" s="3" t="s">
        <v>735</v>
      </c>
      <c r="M143" s="3" t="s">
        <v>82</v>
      </c>
      <c r="N143" s="3" t="s">
        <v>131</v>
      </c>
      <c r="O143" s="3"/>
      <c r="P143" s="3"/>
      <c r="Q143" s="3"/>
      <c r="R143" s="3"/>
      <c r="S143" s="3"/>
      <c r="T143" s="3"/>
      <c r="U143" s="3">
        <v>4572</v>
      </c>
      <c r="V143" s="3">
        <v>3200</v>
      </c>
      <c r="W143" s="3">
        <v>1250</v>
      </c>
      <c r="X143" s="3">
        <v>1542</v>
      </c>
      <c r="Y143" s="4">
        <v>43031</v>
      </c>
      <c r="Z143" s="3" t="s">
        <v>40</v>
      </c>
      <c r="AA143" s="3" t="s">
        <v>736</v>
      </c>
      <c r="AB143" s="3">
        <v>0</v>
      </c>
    </row>
    <row r="144" spans="1:28" ht="27.95" x14ac:dyDescent="0.3">
      <c r="A144" s="5">
        <v>138</v>
      </c>
      <c r="B144" s="5" t="str">
        <f>"201900037594"</f>
        <v>201900037594</v>
      </c>
      <c r="C144" s="5" t="str">
        <f>"96316"</f>
        <v>96316</v>
      </c>
      <c r="D144" s="5" t="s">
        <v>737</v>
      </c>
      <c r="E144" s="5">
        <v>20511995028</v>
      </c>
      <c r="F144" s="5" t="s">
        <v>30</v>
      </c>
      <c r="G144" s="5" t="s">
        <v>738</v>
      </c>
      <c r="H144" s="5" t="s">
        <v>197</v>
      </c>
      <c r="I144" s="5" t="s">
        <v>197</v>
      </c>
      <c r="J144" s="5" t="s">
        <v>198</v>
      </c>
      <c r="K144" s="5" t="s">
        <v>33</v>
      </c>
      <c r="L144" s="5" t="s">
        <v>739</v>
      </c>
      <c r="M144" s="5" t="s">
        <v>740</v>
      </c>
      <c r="N144" s="5" t="s">
        <v>92</v>
      </c>
      <c r="O144" s="5"/>
      <c r="P144" s="5"/>
      <c r="Q144" s="5"/>
      <c r="R144" s="5"/>
      <c r="S144" s="5"/>
      <c r="T144" s="5"/>
      <c r="U144" s="5">
        <v>14000</v>
      </c>
      <c r="V144" s="5">
        <v>3100</v>
      </c>
      <c r="W144" s="5">
        <v>1056.5999999999999</v>
      </c>
      <c r="X144" s="5">
        <v>950</v>
      </c>
      <c r="Y144" s="6">
        <v>43538</v>
      </c>
      <c r="Z144" s="5" t="s">
        <v>40</v>
      </c>
      <c r="AA144" s="5" t="s">
        <v>41</v>
      </c>
      <c r="AB144" s="5">
        <v>240</v>
      </c>
    </row>
    <row r="145" spans="1:28" ht="27.95" x14ac:dyDescent="0.3">
      <c r="A145" s="3">
        <v>139</v>
      </c>
      <c r="B145" s="3" t="str">
        <f>"201900204189"</f>
        <v>201900204189</v>
      </c>
      <c r="C145" s="3" t="str">
        <f>"19989"</f>
        <v>19989</v>
      </c>
      <c r="D145" s="3" t="s">
        <v>741</v>
      </c>
      <c r="E145" s="3">
        <v>20127765279</v>
      </c>
      <c r="F145" s="3" t="s">
        <v>104</v>
      </c>
      <c r="G145" s="3" t="s">
        <v>742</v>
      </c>
      <c r="H145" s="3" t="s">
        <v>32</v>
      </c>
      <c r="I145" s="3" t="s">
        <v>32</v>
      </c>
      <c r="J145" s="3" t="s">
        <v>363</v>
      </c>
      <c r="K145" s="3" t="s">
        <v>33</v>
      </c>
      <c r="L145" s="3" t="s">
        <v>46</v>
      </c>
      <c r="M145" s="3" t="s">
        <v>91</v>
      </c>
      <c r="N145" s="3" t="s">
        <v>92</v>
      </c>
      <c r="O145" s="3" t="s">
        <v>93</v>
      </c>
      <c r="P145" s="3" t="s">
        <v>94</v>
      </c>
      <c r="Q145" s="3"/>
      <c r="R145" s="3"/>
      <c r="S145" s="3"/>
      <c r="T145" s="3"/>
      <c r="U145" s="3">
        <v>20000</v>
      </c>
      <c r="V145" s="3">
        <v>2500</v>
      </c>
      <c r="W145" s="3">
        <v>3750</v>
      </c>
      <c r="X145" s="3">
        <v>250</v>
      </c>
      <c r="Y145" s="4">
        <v>43832</v>
      </c>
      <c r="Z145" s="3" t="s">
        <v>40</v>
      </c>
      <c r="AA145" s="3" t="s">
        <v>109</v>
      </c>
      <c r="AB145" s="3">
        <v>240</v>
      </c>
    </row>
    <row r="146" spans="1:28" x14ac:dyDescent="0.3">
      <c r="A146" s="5">
        <v>140</v>
      </c>
      <c r="B146" s="5" t="str">
        <f>"201400152386"</f>
        <v>201400152386</v>
      </c>
      <c r="C146" s="5" t="str">
        <f>"37044"</f>
        <v>37044</v>
      </c>
      <c r="D146" s="5" t="s">
        <v>743</v>
      </c>
      <c r="E146" s="5">
        <v>20491942852</v>
      </c>
      <c r="F146" s="5" t="s">
        <v>744</v>
      </c>
      <c r="G146" s="5" t="s">
        <v>745</v>
      </c>
      <c r="H146" s="5" t="s">
        <v>32</v>
      </c>
      <c r="I146" s="5" t="s">
        <v>32</v>
      </c>
      <c r="J146" s="5" t="s">
        <v>113</v>
      </c>
      <c r="K146" s="5" t="s">
        <v>33</v>
      </c>
      <c r="L146" s="5" t="s">
        <v>55</v>
      </c>
      <c r="M146" s="5" t="s">
        <v>55</v>
      </c>
      <c r="N146" s="5" t="s">
        <v>746</v>
      </c>
      <c r="O146" s="5" t="s">
        <v>747</v>
      </c>
      <c r="P146" s="5" t="s">
        <v>748</v>
      </c>
      <c r="Q146" s="5" t="s">
        <v>749</v>
      </c>
      <c r="R146" s="5" t="s">
        <v>60</v>
      </c>
      <c r="S146" s="5"/>
      <c r="T146" s="5"/>
      <c r="U146" s="5">
        <v>33000</v>
      </c>
      <c r="V146" s="5">
        <v>3000</v>
      </c>
      <c r="W146" s="5">
        <v>0</v>
      </c>
      <c r="X146" s="5"/>
      <c r="Y146" s="6">
        <v>41983</v>
      </c>
      <c r="Z146" s="5" t="s">
        <v>40</v>
      </c>
      <c r="AA146" s="5" t="s">
        <v>750</v>
      </c>
      <c r="AB146" s="5">
        <v>0</v>
      </c>
    </row>
    <row r="147" spans="1:28" x14ac:dyDescent="0.3">
      <c r="A147" s="3">
        <v>141</v>
      </c>
      <c r="B147" s="3" t="str">
        <f>"201900193323"</f>
        <v>201900193323</v>
      </c>
      <c r="C147" s="3" t="str">
        <f>"7302"</f>
        <v>7302</v>
      </c>
      <c r="D147" s="3" t="s">
        <v>751</v>
      </c>
      <c r="E147" s="3">
        <v>20100111838</v>
      </c>
      <c r="F147" s="3" t="s">
        <v>111</v>
      </c>
      <c r="G147" s="3" t="s">
        <v>752</v>
      </c>
      <c r="H147" s="3" t="s">
        <v>32</v>
      </c>
      <c r="I147" s="3" t="s">
        <v>32</v>
      </c>
      <c r="J147" s="3" t="s">
        <v>74</v>
      </c>
      <c r="K147" s="3" t="s">
        <v>33</v>
      </c>
      <c r="L147" s="3" t="s">
        <v>46</v>
      </c>
      <c r="M147" s="3" t="s">
        <v>55</v>
      </c>
      <c r="N147" s="3" t="s">
        <v>67</v>
      </c>
      <c r="O147" s="3" t="s">
        <v>115</v>
      </c>
      <c r="P147" s="3" t="s">
        <v>55</v>
      </c>
      <c r="Q147" s="3" t="s">
        <v>55</v>
      </c>
      <c r="R147" s="3" t="s">
        <v>753</v>
      </c>
      <c r="S147" s="3"/>
      <c r="T147" s="3"/>
      <c r="U147" s="3">
        <v>37200</v>
      </c>
      <c r="V147" s="3">
        <v>2500</v>
      </c>
      <c r="W147" s="3">
        <v>12500</v>
      </c>
      <c r="X147" s="3"/>
      <c r="Y147" s="4">
        <v>43791</v>
      </c>
      <c r="Z147" s="3" t="s">
        <v>40</v>
      </c>
      <c r="AA147" s="3" t="s">
        <v>118</v>
      </c>
      <c r="AB147" s="3">
        <v>0</v>
      </c>
    </row>
    <row r="148" spans="1:28" ht="27.95" x14ac:dyDescent="0.3">
      <c r="A148" s="5">
        <v>142</v>
      </c>
      <c r="B148" s="5" t="str">
        <f>"201900204249"</f>
        <v>201900204249</v>
      </c>
      <c r="C148" s="5" t="str">
        <f>"7310"</f>
        <v>7310</v>
      </c>
      <c r="D148" s="5" t="s">
        <v>754</v>
      </c>
      <c r="E148" s="5">
        <v>20127765279</v>
      </c>
      <c r="F148" s="5" t="s">
        <v>104</v>
      </c>
      <c r="G148" s="5" t="s">
        <v>755</v>
      </c>
      <c r="H148" s="5" t="s">
        <v>32</v>
      </c>
      <c r="I148" s="5" t="s">
        <v>32</v>
      </c>
      <c r="J148" s="5" t="s">
        <v>152</v>
      </c>
      <c r="K148" s="5" t="s">
        <v>33</v>
      </c>
      <c r="L148" s="5" t="s">
        <v>75</v>
      </c>
      <c r="M148" s="5" t="s">
        <v>68</v>
      </c>
      <c r="N148" s="5" t="s">
        <v>55</v>
      </c>
      <c r="O148" s="5" t="s">
        <v>67</v>
      </c>
      <c r="P148" s="5" t="s">
        <v>67</v>
      </c>
      <c r="Q148" s="5" t="s">
        <v>124</v>
      </c>
      <c r="R148" s="5"/>
      <c r="S148" s="5"/>
      <c r="T148" s="5"/>
      <c r="U148" s="5">
        <v>30000</v>
      </c>
      <c r="V148" s="5">
        <v>3200</v>
      </c>
      <c r="W148" s="5">
        <v>1250</v>
      </c>
      <c r="X148" s="5"/>
      <c r="Y148" s="6">
        <v>43815</v>
      </c>
      <c r="Z148" s="5" t="s">
        <v>40</v>
      </c>
      <c r="AA148" s="5" t="s">
        <v>109</v>
      </c>
      <c r="AB148" s="5">
        <v>240</v>
      </c>
    </row>
    <row r="149" spans="1:28" x14ac:dyDescent="0.3">
      <c r="A149" s="3">
        <v>143</v>
      </c>
      <c r="B149" s="3" t="str">
        <f>"202000113784"</f>
        <v>202000113784</v>
      </c>
      <c r="C149" s="3" t="str">
        <f>"9529"</f>
        <v>9529</v>
      </c>
      <c r="D149" s="3" t="s">
        <v>756</v>
      </c>
      <c r="E149" s="3">
        <v>20117509665</v>
      </c>
      <c r="F149" s="3" t="s">
        <v>757</v>
      </c>
      <c r="G149" s="3" t="s">
        <v>758</v>
      </c>
      <c r="H149" s="3" t="s">
        <v>32</v>
      </c>
      <c r="I149" s="3" t="s">
        <v>32</v>
      </c>
      <c r="J149" s="3" t="s">
        <v>128</v>
      </c>
      <c r="K149" s="3" t="s">
        <v>33</v>
      </c>
      <c r="L149" s="3" t="s">
        <v>123</v>
      </c>
      <c r="M149" s="3" t="s">
        <v>55</v>
      </c>
      <c r="N149" s="3" t="s">
        <v>56</v>
      </c>
      <c r="O149" s="3" t="s">
        <v>67</v>
      </c>
      <c r="P149" s="3" t="s">
        <v>55</v>
      </c>
      <c r="Q149" s="3" t="s">
        <v>124</v>
      </c>
      <c r="R149" s="3"/>
      <c r="S149" s="3"/>
      <c r="T149" s="3"/>
      <c r="U149" s="3">
        <v>28000</v>
      </c>
      <c r="V149" s="3">
        <v>3500</v>
      </c>
      <c r="W149" s="3">
        <v>2000</v>
      </c>
      <c r="X149" s="3"/>
      <c r="Y149" s="4">
        <v>44076</v>
      </c>
      <c r="Z149" s="3" t="s">
        <v>40</v>
      </c>
      <c r="AA149" s="3" t="s">
        <v>759</v>
      </c>
      <c r="AB149" s="3">
        <v>0</v>
      </c>
    </row>
    <row r="150" spans="1:28" ht="27.95" x14ac:dyDescent="0.3">
      <c r="A150" s="5">
        <v>144</v>
      </c>
      <c r="B150" s="5" t="str">
        <f>"201600169050"</f>
        <v>201600169050</v>
      </c>
      <c r="C150" s="5" t="str">
        <f>"9573"</f>
        <v>9573</v>
      </c>
      <c r="D150" s="5" t="s">
        <v>760</v>
      </c>
      <c r="E150" s="5">
        <v>20511584583</v>
      </c>
      <c r="F150" s="5" t="s">
        <v>761</v>
      </c>
      <c r="G150" s="5" t="s">
        <v>762</v>
      </c>
      <c r="H150" s="5" t="s">
        <v>32</v>
      </c>
      <c r="I150" s="5" t="s">
        <v>32</v>
      </c>
      <c r="J150" s="5" t="s">
        <v>363</v>
      </c>
      <c r="K150" s="5" t="s">
        <v>33</v>
      </c>
      <c r="L150" s="5" t="s">
        <v>91</v>
      </c>
      <c r="M150" s="5" t="s">
        <v>93</v>
      </c>
      <c r="N150" s="5" t="s">
        <v>92</v>
      </c>
      <c r="O150" s="5" t="s">
        <v>94</v>
      </c>
      <c r="P150" s="5" t="s">
        <v>131</v>
      </c>
      <c r="Q150" s="5"/>
      <c r="R150" s="5"/>
      <c r="S150" s="5"/>
      <c r="T150" s="5"/>
      <c r="U150" s="5">
        <v>20000</v>
      </c>
      <c r="V150" s="5">
        <v>3200</v>
      </c>
      <c r="W150" s="5">
        <v>199920</v>
      </c>
      <c r="X150" s="5">
        <v>1313</v>
      </c>
      <c r="Y150" s="6">
        <v>42695</v>
      </c>
      <c r="Z150" s="5" t="s">
        <v>40</v>
      </c>
      <c r="AA150" s="5" t="s">
        <v>763</v>
      </c>
      <c r="AB150" s="5">
        <v>0</v>
      </c>
    </row>
    <row r="151" spans="1:28" ht="41.95" x14ac:dyDescent="0.3">
      <c r="A151" s="3">
        <v>145</v>
      </c>
      <c r="B151" s="3" t="str">
        <f>"201900206695"</f>
        <v>201900206695</v>
      </c>
      <c r="C151" s="3" t="str">
        <f>"42387"</f>
        <v>42387</v>
      </c>
      <c r="D151" s="3" t="s">
        <v>764</v>
      </c>
      <c r="E151" s="3">
        <v>20127765279</v>
      </c>
      <c r="F151" s="3" t="s">
        <v>104</v>
      </c>
      <c r="G151" s="3" t="s">
        <v>765</v>
      </c>
      <c r="H151" s="3" t="s">
        <v>32</v>
      </c>
      <c r="I151" s="3" t="s">
        <v>32</v>
      </c>
      <c r="J151" s="3" t="s">
        <v>74</v>
      </c>
      <c r="K151" s="3" t="s">
        <v>33</v>
      </c>
      <c r="L151" s="3" t="s">
        <v>46</v>
      </c>
      <c r="M151" s="3" t="s">
        <v>38</v>
      </c>
      <c r="N151" s="3" t="s">
        <v>446</v>
      </c>
      <c r="O151" s="3" t="s">
        <v>462</v>
      </c>
      <c r="P151" s="3"/>
      <c r="Q151" s="3"/>
      <c r="R151" s="3"/>
      <c r="S151" s="3"/>
      <c r="T151" s="3"/>
      <c r="U151" s="3">
        <v>20000</v>
      </c>
      <c r="V151" s="3">
        <v>2500</v>
      </c>
      <c r="W151" s="3">
        <v>2000</v>
      </c>
      <c r="X151" s="3"/>
      <c r="Y151" s="4">
        <v>43812</v>
      </c>
      <c r="Z151" s="3" t="s">
        <v>40</v>
      </c>
      <c r="AA151" s="3" t="s">
        <v>109</v>
      </c>
      <c r="AB151" s="3">
        <v>240</v>
      </c>
    </row>
    <row r="152" spans="1:28" ht="27.95" x14ac:dyDescent="0.3">
      <c r="A152" s="5">
        <v>146</v>
      </c>
      <c r="B152" s="5" t="str">
        <f>"202000005267"</f>
        <v>202000005267</v>
      </c>
      <c r="C152" s="5" t="str">
        <f>"19976"</f>
        <v>19976</v>
      </c>
      <c r="D152" s="5" t="s">
        <v>766</v>
      </c>
      <c r="E152" s="5">
        <v>20491998211</v>
      </c>
      <c r="F152" s="5" t="s">
        <v>767</v>
      </c>
      <c r="G152" s="5" t="s">
        <v>768</v>
      </c>
      <c r="H152" s="5" t="s">
        <v>32</v>
      </c>
      <c r="I152" s="5" t="s">
        <v>32</v>
      </c>
      <c r="J152" s="5" t="s">
        <v>237</v>
      </c>
      <c r="K152" s="5" t="s">
        <v>33</v>
      </c>
      <c r="L152" s="5" t="s">
        <v>769</v>
      </c>
      <c r="M152" s="5" t="s">
        <v>59</v>
      </c>
      <c r="N152" s="5" t="s">
        <v>770</v>
      </c>
      <c r="O152" s="5" t="s">
        <v>771</v>
      </c>
      <c r="P152" s="5"/>
      <c r="Q152" s="5"/>
      <c r="R152" s="5"/>
      <c r="S152" s="5"/>
      <c r="T152" s="5"/>
      <c r="U152" s="5">
        <v>10050</v>
      </c>
      <c r="V152" s="5">
        <v>2300</v>
      </c>
      <c r="W152" s="5">
        <v>0</v>
      </c>
      <c r="X152" s="5"/>
      <c r="Y152" s="6">
        <v>43845</v>
      </c>
      <c r="Z152" s="5" t="s">
        <v>40</v>
      </c>
      <c r="AA152" s="5" t="s">
        <v>514</v>
      </c>
      <c r="AB152" s="5">
        <v>0</v>
      </c>
    </row>
    <row r="153" spans="1:28" ht="27.95" x14ac:dyDescent="0.3">
      <c r="A153" s="3">
        <v>147</v>
      </c>
      <c r="B153" s="3" t="str">
        <f>"202000005352"</f>
        <v>202000005352</v>
      </c>
      <c r="C153" s="3" t="str">
        <f>"85107"</f>
        <v>85107</v>
      </c>
      <c r="D153" s="3" t="s">
        <v>772</v>
      </c>
      <c r="E153" s="3">
        <v>20519251656</v>
      </c>
      <c r="F153" s="3" t="s">
        <v>773</v>
      </c>
      <c r="G153" s="3" t="s">
        <v>774</v>
      </c>
      <c r="H153" s="3" t="s">
        <v>32</v>
      </c>
      <c r="I153" s="3" t="s">
        <v>32</v>
      </c>
      <c r="J153" s="3" t="s">
        <v>363</v>
      </c>
      <c r="K153" s="3" t="s">
        <v>33</v>
      </c>
      <c r="L153" s="3" t="s">
        <v>46</v>
      </c>
      <c r="M153" s="3" t="s">
        <v>480</v>
      </c>
      <c r="N153" s="3" t="s">
        <v>775</v>
      </c>
      <c r="O153" s="3"/>
      <c r="P153" s="3"/>
      <c r="Q153" s="3"/>
      <c r="R153" s="3"/>
      <c r="S153" s="3"/>
      <c r="T153" s="3"/>
      <c r="U153" s="3">
        <v>20000</v>
      </c>
      <c r="V153" s="3">
        <v>2500</v>
      </c>
      <c r="W153" s="3">
        <v>2000</v>
      </c>
      <c r="X153" s="3"/>
      <c r="Y153" s="4">
        <v>43854</v>
      </c>
      <c r="Z153" s="3" t="s">
        <v>40</v>
      </c>
      <c r="AA153" s="3" t="s">
        <v>514</v>
      </c>
      <c r="AB153" s="3">
        <v>0</v>
      </c>
    </row>
    <row r="154" spans="1:28" ht="27.95" x14ac:dyDescent="0.3">
      <c r="A154" s="5">
        <v>148</v>
      </c>
      <c r="B154" s="5" t="str">
        <f>"201800118583"</f>
        <v>201800118583</v>
      </c>
      <c r="C154" s="5" t="str">
        <f>"82903"</f>
        <v>82903</v>
      </c>
      <c r="D154" s="5" t="s">
        <v>776</v>
      </c>
      <c r="E154" s="5">
        <v>20127765279</v>
      </c>
      <c r="F154" s="5" t="s">
        <v>104</v>
      </c>
      <c r="G154" s="5" t="s">
        <v>777</v>
      </c>
      <c r="H154" s="5" t="s">
        <v>32</v>
      </c>
      <c r="I154" s="5" t="s">
        <v>32</v>
      </c>
      <c r="J154" s="5" t="s">
        <v>32</v>
      </c>
      <c r="K154" s="5" t="s">
        <v>33</v>
      </c>
      <c r="L154" s="5" t="s">
        <v>46</v>
      </c>
      <c r="M154" s="5" t="s">
        <v>778</v>
      </c>
      <c r="N154" s="5" t="s">
        <v>779</v>
      </c>
      <c r="O154" s="5" t="s">
        <v>221</v>
      </c>
      <c r="P154" s="5" t="s">
        <v>780</v>
      </c>
      <c r="Q154" s="5"/>
      <c r="R154" s="5"/>
      <c r="S154" s="5"/>
      <c r="T154" s="5"/>
      <c r="U154" s="5">
        <v>31750</v>
      </c>
      <c r="V154" s="5">
        <v>2500</v>
      </c>
      <c r="W154" s="5">
        <v>1250</v>
      </c>
      <c r="X154" s="5"/>
      <c r="Y154" s="6">
        <v>43305</v>
      </c>
      <c r="Z154" s="5" t="s">
        <v>40</v>
      </c>
      <c r="AA154" s="5" t="s">
        <v>203</v>
      </c>
      <c r="AB154" s="5">
        <v>0</v>
      </c>
    </row>
    <row r="155" spans="1:28" ht="27.95" x14ac:dyDescent="0.3">
      <c r="A155" s="3">
        <v>149</v>
      </c>
      <c r="B155" s="3" t="str">
        <f>"201800009941"</f>
        <v>201800009941</v>
      </c>
      <c r="C155" s="3" t="str">
        <f>"6840"</f>
        <v>6840</v>
      </c>
      <c r="D155" s="3" t="s">
        <v>781</v>
      </c>
      <c r="E155" s="3">
        <v>20127765279</v>
      </c>
      <c r="F155" s="3" t="s">
        <v>104</v>
      </c>
      <c r="G155" s="3" t="s">
        <v>782</v>
      </c>
      <c r="H155" s="3" t="s">
        <v>32</v>
      </c>
      <c r="I155" s="3" t="s">
        <v>32</v>
      </c>
      <c r="J155" s="3" t="s">
        <v>317</v>
      </c>
      <c r="K155" s="3" t="s">
        <v>33</v>
      </c>
      <c r="L155" s="3" t="s">
        <v>38</v>
      </c>
      <c r="M155" s="3" t="s">
        <v>38</v>
      </c>
      <c r="N155" s="3" t="s">
        <v>38</v>
      </c>
      <c r="O155" s="3" t="s">
        <v>783</v>
      </c>
      <c r="P155" s="3" t="s">
        <v>286</v>
      </c>
      <c r="Q155" s="3" t="s">
        <v>131</v>
      </c>
      <c r="R155" s="3"/>
      <c r="S155" s="3"/>
      <c r="T155" s="3"/>
      <c r="U155" s="3">
        <v>40000</v>
      </c>
      <c r="V155" s="3">
        <v>3200</v>
      </c>
      <c r="W155" s="3">
        <v>1250</v>
      </c>
      <c r="X155" s="3">
        <v>1080</v>
      </c>
      <c r="Y155" s="4">
        <v>43122</v>
      </c>
      <c r="Z155" s="3" t="s">
        <v>40</v>
      </c>
      <c r="AA155" s="3" t="s">
        <v>203</v>
      </c>
      <c r="AB155" s="3">
        <v>240</v>
      </c>
    </row>
    <row r="156" spans="1:28" ht="27.95" x14ac:dyDescent="0.3">
      <c r="A156" s="5">
        <v>150</v>
      </c>
      <c r="B156" s="5" t="str">
        <f>"201900204039"</f>
        <v>201900204039</v>
      </c>
      <c r="C156" s="5" t="str">
        <f>"18289"</f>
        <v>18289</v>
      </c>
      <c r="D156" s="5" t="s">
        <v>784</v>
      </c>
      <c r="E156" s="5">
        <v>20127765279</v>
      </c>
      <c r="F156" s="5" t="s">
        <v>104</v>
      </c>
      <c r="G156" s="5" t="s">
        <v>785</v>
      </c>
      <c r="H156" s="5" t="s">
        <v>32</v>
      </c>
      <c r="I156" s="5" t="s">
        <v>32</v>
      </c>
      <c r="J156" s="5" t="s">
        <v>65</v>
      </c>
      <c r="K156" s="5" t="s">
        <v>33</v>
      </c>
      <c r="L156" s="5" t="s">
        <v>46</v>
      </c>
      <c r="M156" s="5" t="s">
        <v>38</v>
      </c>
      <c r="N156" s="5" t="s">
        <v>786</v>
      </c>
      <c r="O156" s="5"/>
      <c r="P156" s="5"/>
      <c r="Q156" s="5"/>
      <c r="R156" s="5"/>
      <c r="S156" s="5"/>
      <c r="T156" s="5"/>
      <c r="U156" s="5">
        <v>16000</v>
      </c>
      <c r="V156" s="5">
        <v>2500</v>
      </c>
      <c r="W156" s="5">
        <v>2000</v>
      </c>
      <c r="X156" s="5"/>
      <c r="Y156" s="6">
        <v>43807</v>
      </c>
      <c r="Z156" s="5" t="s">
        <v>40</v>
      </c>
      <c r="AA156" s="5" t="s">
        <v>109</v>
      </c>
      <c r="AB156" s="5">
        <v>0</v>
      </c>
    </row>
    <row r="157" spans="1:28" ht="27.95" x14ac:dyDescent="0.3">
      <c r="A157" s="3">
        <v>151</v>
      </c>
      <c r="B157" s="3" t="str">
        <f>"201900159450"</f>
        <v>201900159450</v>
      </c>
      <c r="C157" s="3" t="str">
        <f>"94176"</f>
        <v>94176</v>
      </c>
      <c r="D157" s="3" t="s">
        <v>787</v>
      </c>
      <c r="E157" s="3">
        <v>20494793521</v>
      </c>
      <c r="F157" s="3" t="s">
        <v>788</v>
      </c>
      <c r="G157" s="3" t="s">
        <v>789</v>
      </c>
      <c r="H157" s="3" t="s">
        <v>45</v>
      </c>
      <c r="I157" s="3" t="s">
        <v>45</v>
      </c>
      <c r="J157" s="3" t="s">
        <v>45</v>
      </c>
      <c r="K157" s="3" t="s">
        <v>33</v>
      </c>
      <c r="L157" s="3" t="s">
        <v>790</v>
      </c>
      <c r="M157" s="3" t="s">
        <v>791</v>
      </c>
      <c r="N157" s="3" t="s">
        <v>792</v>
      </c>
      <c r="O157" s="3"/>
      <c r="P157" s="3"/>
      <c r="Q157" s="3"/>
      <c r="R157" s="3"/>
      <c r="S157" s="3"/>
      <c r="T157" s="3"/>
      <c r="U157" s="3">
        <v>15800</v>
      </c>
      <c r="V157" s="3">
        <v>7800</v>
      </c>
      <c r="W157" s="3">
        <v>1000</v>
      </c>
      <c r="X157" s="3"/>
      <c r="Y157" s="4">
        <v>43738</v>
      </c>
      <c r="Z157" s="3" t="s">
        <v>40</v>
      </c>
      <c r="AA157" s="3" t="s">
        <v>793</v>
      </c>
      <c r="AB157" s="3">
        <v>480</v>
      </c>
    </row>
    <row r="158" spans="1:28" ht="41.95" x14ac:dyDescent="0.3">
      <c r="A158" s="5">
        <v>152</v>
      </c>
      <c r="B158" s="5" t="str">
        <f>"201800099137"</f>
        <v>201800099137</v>
      </c>
      <c r="C158" s="5" t="str">
        <f>"39783"</f>
        <v>39783</v>
      </c>
      <c r="D158" s="5" t="s">
        <v>794</v>
      </c>
      <c r="E158" s="5">
        <v>20506151547</v>
      </c>
      <c r="F158" s="5" t="s">
        <v>213</v>
      </c>
      <c r="G158" s="5" t="s">
        <v>795</v>
      </c>
      <c r="H158" s="5" t="s">
        <v>32</v>
      </c>
      <c r="I158" s="5" t="s">
        <v>32</v>
      </c>
      <c r="J158" s="5" t="s">
        <v>152</v>
      </c>
      <c r="K158" s="5" t="s">
        <v>33</v>
      </c>
      <c r="L158" s="5" t="s">
        <v>46</v>
      </c>
      <c r="M158" s="5" t="s">
        <v>796</v>
      </c>
      <c r="N158" s="5"/>
      <c r="O158" s="5"/>
      <c r="P158" s="5"/>
      <c r="Q158" s="5"/>
      <c r="R158" s="5"/>
      <c r="S158" s="5"/>
      <c r="T158" s="5"/>
      <c r="U158" s="5">
        <v>6000</v>
      </c>
      <c r="V158" s="5">
        <v>2500</v>
      </c>
      <c r="W158" s="5">
        <v>1000</v>
      </c>
      <c r="X158" s="5"/>
      <c r="Y158" s="6">
        <v>43783</v>
      </c>
      <c r="Z158" s="5" t="s">
        <v>40</v>
      </c>
      <c r="AA158" s="5" t="s">
        <v>139</v>
      </c>
      <c r="AB158" s="5">
        <v>240</v>
      </c>
    </row>
    <row r="159" spans="1:28" ht="27.95" x14ac:dyDescent="0.3">
      <c r="A159" s="3">
        <v>153</v>
      </c>
      <c r="B159" s="3" t="str">
        <f>"201900204179"</f>
        <v>201900204179</v>
      </c>
      <c r="C159" s="3" t="str">
        <f>"86138"</f>
        <v>86138</v>
      </c>
      <c r="D159" s="3" t="s">
        <v>797</v>
      </c>
      <c r="E159" s="3">
        <v>20127765279</v>
      </c>
      <c r="F159" s="3" t="s">
        <v>104</v>
      </c>
      <c r="G159" s="3" t="s">
        <v>798</v>
      </c>
      <c r="H159" s="3" t="s">
        <v>32</v>
      </c>
      <c r="I159" s="3" t="s">
        <v>32</v>
      </c>
      <c r="J159" s="3" t="s">
        <v>143</v>
      </c>
      <c r="K159" s="3" t="s">
        <v>33</v>
      </c>
      <c r="L159" s="3" t="s">
        <v>46</v>
      </c>
      <c r="M159" s="3" t="s">
        <v>799</v>
      </c>
      <c r="N159" s="3" t="s">
        <v>800</v>
      </c>
      <c r="O159" s="3"/>
      <c r="P159" s="3"/>
      <c r="Q159" s="3"/>
      <c r="R159" s="3"/>
      <c r="S159" s="3"/>
      <c r="T159" s="3"/>
      <c r="U159" s="3">
        <v>17231</v>
      </c>
      <c r="V159" s="3">
        <v>2500</v>
      </c>
      <c r="W159" s="3">
        <v>2000</v>
      </c>
      <c r="X159" s="3"/>
      <c r="Y159" s="4">
        <v>43812</v>
      </c>
      <c r="Z159" s="3" t="s">
        <v>40</v>
      </c>
      <c r="AA159" s="3" t="s">
        <v>109</v>
      </c>
      <c r="AB159" s="3">
        <v>720</v>
      </c>
    </row>
    <row r="160" spans="1:28" ht="27.95" x14ac:dyDescent="0.3">
      <c r="A160" s="5">
        <v>154</v>
      </c>
      <c r="B160" s="5" t="str">
        <f>"201900204232"</f>
        <v>201900204232</v>
      </c>
      <c r="C160" s="5" t="str">
        <f>"17944"</f>
        <v>17944</v>
      </c>
      <c r="D160" s="5" t="s">
        <v>801</v>
      </c>
      <c r="E160" s="5">
        <v>20127765279</v>
      </c>
      <c r="F160" s="5" t="s">
        <v>104</v>
      </c>
      <c r="G160" s="5" t="s">
        <v>802</v>
      </c>
      <c r="H160" s="5" t="s">
        <v>32</v>
      </c>
      <c r="I160" s="5" t="s">
        <v>32</v>
      </c>
      <c r="J160" s="5" t="s">
        <v>383</v>
      </c>
      <c r="K160" s="5" t="s">
        <v>33</v>
      </c>
      <c r="L160" s="5" t="s">
        <v>803</v>
      </c>
      <c r="M160" s="5" t="s">
        <v>92</v>
      </c>
      <c r="N160" s="5" t="s">
        <v>93</v>
      </c>
      <c r="O160" s="5" t="s">
        <v>91</v>
      </c>
      <c r="P160" s="5" t="s">
        <v>94</v>
      </c>
      <c r="Q160" s="5"/>
      <c r="R160" s="5"/>
      <c r="S160" s="5"/>
      <c r="T160" s="5"/>
      <c r="U160" s="5">
        <v>20000</v>
      </c>
      <c r="V160" s="5">
        <v>2750</v>
      </c>
      <c r="W160" s="5">
        <v>1250</v>
      </c>
      <c r="X160" s="5"/>
      <c r="Y160" s="6">
        <v>43815</v>
      </c>
      <c r="Z160" s="5" t="s">
        <v>40</v>
      </c>
      <c r="AA160" s="5" t="s">
        <v>109</v>
      </c>
      <c r="AB160" s="5">
        <v>240</v>
      </c>
    </row>
    <row r="161" spans="1:28" ht="27.95" x14ac:dyDescent="0.3">
      <c r="A161" s="3">
        <v>155</v>
      </c>
      <c r="B161" s="3" t="str">
        <f>"202000147574"</f>
        <v>202000147574</v>
      </c>
      <c r="C161" s="3" t="str">
        <f>"7328"</f>
        <v>7328</v>
      </c>
      <c r="D161" s="3" t="s">
        <v>804</v>
      </c>
      <c r="E161" s="3">
        <v>20600789113</v>
      </c>
      <c r="F161" s="3" t="s">
        <v>805</v>
      </c>
      <c r="G161" s="3" t="s">
        <v>806</v>
      </c>
      <c r="H161" s="3" t="s">
        <v>32</v>
      </c>
      <c r="I161" s="3" t="s">
        <v>225</v>
      </c>
      <c r="J161" s="3" t="s">
        <v>226</v>
      </c>
      <c r="K161" s="3" t="s">
        <v>33</v>
      </c>
      <c r="L161" s="3" t="s">
        <v>38</v>
      </c>
      <c r="M161" s="3" t="s">
        <v>39</v>
      </c>
      <c r="N161" s="3" t="s">
        <v>163</v>
      </c>
      <c r="O161" s="3" t="s">
        <v>56</v>
      </c>
      <c r="P161" s="3" t="s">
        <v>57</v>
      </c>
      <c r="Q161" s="3"/>
      <c r="R161" s="3"/>
      <c r="S161" s="3"/>
      <c r="T161" s="3"/>
      <c r="U161" s="3">
        <v>24000</v>
      </c>
      <c r="V161" s="3">
        <v>3000</v>
      </c>
      <c r="W161" s="3">
        <v>0</v>
      </c>
      <c r="X161" s="3"/>
      <c r="Y161" s="4">
        <v>44127</v>
      </c>
      <c r="Z161" s="3" t="s">
        <v>40</v>
      </c>
      <c r="AA161" s="3" t="s">
        <v>807</v>
      </c>
      <c r="AB161" s="3">
        <v>0</v>
      </c>
    </row>
    <row r="162" spans="1:28" x14ac:dyDescent="0.3">
      <c r="A162" s="5">
        <v>156</v>
      </c>
      <c r="B162" s="5" t="str">
        <f>"201800141361"</f>
        <v>201800141361</v>
      </c>
      <c r="C162" s="5" t="str">
        <f>"16804"</f>
        <v>16804</v>
      </c>
      <c r="D162" s="5" t="s">
        <v>808</v>
      </c>
      <c r="E162" s="5">
        <v>20137926742</v>
      </c>
      <c r="F162" s="5" t="s">
        <v>809</v>
      </c>
      <c r="G162" s="5" t="s">
        <v>810</v>
      </c>
      <c r="H162" s="5" t="s">
        <v>32</v>
      </c>
      <c r="I162" s="5" t="s">
        <v>32</v>
      </c>
      <c r="J162" s="5" t="s">
        <v>363</v>
      </c>
      <c r="K162" s="5" t="s">
        <v>33</v>
      </c>
      <c r="L162" s="5" t="s">
        <v>46</v>
      </c>
      <c r="M162" s="5" t="s">
        <v>55</v>
      </c>
      <c r="N162" s="5" t="s">
        <v>92</v>
      </c>
      <c r="O162" s="5" t="s">
        <v>93</v>
      </c>
      <c r="P162" s="5" t="s">
        <v>94</v>
      </c>
      <c r="Q162" s="5"/>
      <c r="R162" s="5"/>
      <c r="S162" s="5"/>
      <c r="T162" s="5"/>
      <c r="U162" s="5">
        <v>21000</v>
      </c>
      <c r="V162" s="5">
        <v>2500</v>
      </c>
      <c r="W162" s="5">
        <v>1000</v>
      </c>
      <c r="X162" s="5">
        <v>1208</v>
      </c>
      <c r="Y162" s="6">
        <v>43339</v>
      </c>
      <c r="Z162" s="5" t="s">
        <v>40</v>
      </c>
      <c r="AA162" s="5" t="s">
        <v>811</v>
      </c>
      <c r="AB162" s="5">
        <v>0</v>
      </c>
    </row>
    <row r="163" spans="1:28" ht="55.9" x14ac:dyDescent="0.3">
      <c r="A163" s="3">
        <v>157</v>
      </c>
      <c r="B163" s="3" t="str">
        <f>"201700160171"</f>
        <v>201700160171</v>
      </c>
      <c r="C163" s="3" t="str">
        <f>"7282"</f>
        <v>7282</v>
      </c>
      <c r="D163" s="3" t="s">
        <v>812</v>
      </c>
      <c r="E163" s="3">
        <v>20138645607</v>
      </c>
      <c r="F163" s="3" t="s">
        <v>813</v>
      </c>
      <c r="G163" s="3" t="s">
        <v>814</v>
      </c>
      <c r="H163" s="3" t="s">
        <v>32</v>
      </c>
      <c r="I163" s="3" t="s">
        <v>32</v>
      </c>
      <c r="J163" s="3" t="s">
        <v>157</v>
      </c>
      <c r="K163" s="3" t="s">
        <v>33</v>
      </c>
      <c r="L163" s="3" t="s">
        <v>55</v>
      </c>
      <c r="M163" s="3" t="s">
        <v>68</v>
      </c>
      <c r="N163" s="3" t="s">
        <v>815</v>
      </c>
      <c r="O163" s="3" t="s">
        <v>696</v>
      </c>
      <c r="P163" s="3"/>
      <c r="Q163" s="3"/>
      <c r="R163" s="3"/>
      <c r="S163" s="3"/>
      <c r="T163" s="3"/>
      <c r="U163" s="3">
        <v>19500</v>
      </c>
      <c r="V163" s="3">
        <v>5000</v>
      </c>
      <c r="W163" s="3">
        <v>2500</v>
      </c>
      <c r="X163" s="3">
        <v>1083</v>
      </c>
      <c r="Y163" s="4">
        <v>43011</v>
      </c>
      <c r="Z163" s="3" t="s">
        <v>40</v>
      </c>
      <c r="AA163" s="3" t="s">
        <v>816</v>
      </c>
      <c r="AB163" s="3">
        <v>0</v>
      </c>
    </row>
    <row r="164" spans="1:28" x14ac:dyDescent="0.3">
      <c r="A164" s="5">
        <v>158</v>
      </c>
      <c r="B164" s="5" t="str">
        <f>"201800016990"</f>
        <v>201800016990</v>
      </c>
      <c r="C164" s="5" t="str">
        <f>"8332"</f>
        <v>8332</v>
      </c>
      <c r="D164" s="5" t="s">
        <v>817</v>
      </c>
      <c r="E164" s="5">
        <v>20127765279</v>
      </c>
      <c r="F164" s="5" t="s">
        <v>120</v>
      </c>
      <c r="G164" s="5" t="s">
        <v>818</v>
      </c>
      <c r="H164" s="5" t="s">
        <v>32</v>
      </c>
      <c r="I164" s="5" t="s">
        <v>32</v>
      </c>
      <c r="J164" s="5" t="s">
        <v>442</v>
      </c>
      <c r="K164" s="5" t="s">
        <v>33</v>
      </c>
      <c r="L164" s="5" t="s">
        <v>38</v>
      </c>
      <c r="M164" s="5" t="s">
        <v>37</v>
      </c>
      <c r="N164" s="5" t="s">
        <v>36</v>
      </c>
      <c r="O164" s="5" t="s">
        <v>35</v>
      </c>
      <c r="P164" s="5" t="s">
        <v>60</v>
      </c>
      <c r="Q164" s="5"/>
      <c r="R164" s="5"/>
      <c r="S164" s="5"/>
      <c r="T164" s="5"/>
      <c r="U164" s="5">
        <v>32000</v>
      </c>
      <c r="V164" s="5">
        <v>3000</v>
      </c>
      <c r="W164" s="5">
        <v>2000</v>
      </c>
      <c r="X164" s="5">
        <v>971</v>
      </c>
      <c r="Y164" s="6">
        <v>43132</v>
      </c>
      <c r="Z164" s="5" t="s">
        <v>40</v>
      </c>
      <c r="AA164" s="5" t="s">
        <v>282</v>
      </c>
      <c r="AB164" s="5">
        <v>240</v>
      </c>
    </row>
    <row r="165" spans="1:28" ht="27.95" x14ac:dyDescent="0.3">
      <c r="A165" s="3">
        <v>159</v>
      </c>
      <c r="B165" s="3" t="str">
        <f>"201900204235"</f>
        <v>201900204235</v>
      </c>
      <c r="C165" s="3" t="str">
        <f>"8258"</f>
        <v>8258</v>
      </c>
      <c r="D165" s="3" t="s">
        <v>819</v>
      </c>
      <c r="E165" s="3">
        <v>20127765279</v>
      </c>
      <c r="F165" s="3" t="s">
        <v>104</v>
      </c>
      <c r="G165" s="3" t="s">
        <v>820</v>
      </c>
      <c r="H165" s="3" t="s">
        <v>32</v>
      </c>
      <c r="I165" s="3" t="s">
        <v>32</v>
      </c>
      <c r="J165" s="3" t="s">
        <v>122</v>
      </c>
      <c r="K165" s="3" t="s">
        <v>33</v>
      </c>
      <c r="L165" s="3" t="s">
        <v>46</v>
      </c>
      <c r="M165" s="3" t="s">
        <v>38</v>
      </c>
      <c r="N165" s="3" t="s">
        <v>67</v>
      </c>
      <c r="O165" s="3" t="s">
        <v>68</v>
      </c>
      <c r="P165" s="3" t="s">
        <v>462</v>
      </c>
      <c r="Q165" s="3"/>
      <c r="R165" s="3"/>
      <c r="S165" s="3"/>
      <c r="T165" s="3"/>
      <c r="U165" s="3">
        <v>26000</v>
      </c>
      <c r="V165" s="3">
        <v>2500</v>
      </c>
      <c r="W165" s="3">
        <v>1250</v>
      </c>
      <c r="X165" s="3"/>
      <c r="Y165" s="4">
        <v>43815</v>
      </c>
      <c r="Z165" s="3" t="s">
        <v>40</v>
      </c>
      <c r="AA165" s="3" t="s">
        <v>109</v>
      </c>
      <c r="AB165" s="3">
        <v>120</v>
      </c>
    </row>
    <row r="166" spans="1:28" ht="27.95" x14ac:dyDescent="0.3">
      <c r="A166" s="5">
        <v>160</v>
      </c>
      <c r="B166" s="5" t="str">
        <f>"202000102084"</f>
        <v>202000102084</v>
      </c>
      <c r="C166" s="5" t="str">
        <f>"84588"</f>
        <v>84588</v>
      </c>
      <c r="D166" s="5" t="s">
        <v>821</v>
      </c>
      <c r="E166" s="5">
        <v>20511995028</v>
      </c>
      <c r="F166" s="5" t="s">
        <v>30</v>
      </c>
      <c r="G166" s="5" t="s">
        <v>822</v>
      </c>
      <c r="H166" s="5" t="s">
        <v>32</v>
      </c>
      <c r="I166" s="5" t="s">
        <v>32</v>
      </c>
      <c r="J166" s="5" t="s">
        <v>341</v>
      </c>
      <c r="K166" s="5" t="s">
        <v>33</v>
      </c>
      <c r="L166" s="5" t="s">
        <v>75</v>
      </c>
      <c r="M166" s="5" t="s">
        <v>823</v>
      </c>
      <c r="N166" s="5" t="s">
        <v>278</v>
      </c>
      <c r="O166" s="5"/>
      <c r="P166" s="5"/>
      <c r="Q166" s="5"/>
      <c r="R166" s="5"/>
      <c r="S166" s="5"/>
      <c r="T166" s="5"/>
      <c r="U166" s="5">
        <v>14000</v>
      </c>
      <c r="V166" s="5">
        <v>3200</v>
      </c>
      <c r="W166" s="5">
        <v>2500</v>
      </c>
      <c r="X166" s="5">
        <v>950</v>
      </c>
      <c r="Y166" s="6">
        <v>44067</v>
      </c>
      <c r="Z166" s="5" t="s">
        <v>40</v>
      </c>
      <c r="AA166" s="5" t="s">
        <v>41</v>
      </c>
      <c r="AB166" s="5">
        <v>0</v>
      </c>
    </row>
    <row r="167" spans="1:28" ht="41.95" x14ac:dyDescent="0.3">
      <c r="A167" s="3">
        <v>161</v>
      </c>
      <c r="B167" s="3" t="str">
        <f>"201800064308"</f>
        <v>201800064308</v>
      </c>
      <c r="C167" s="3" t="str">
        <f>"114526"</f>
        <v>114526</v>
      </c>
      <c r="D167" s="3" t="s">
        <v>824</v>
      </c>
      <c r="E167" s="3">
        <v>20502794052</v>
      </c>
      <c r="F167" s="3" t="s">
        <v>825</v>
      </c>
      <c r="G167" s="3" t="s">
        <v>826</v>
      </c>
      <c r="H167" s="3" t="s">
        <v>827</v>
      </c>
      <c r="I167" s="3" t="s">
        <v>828</v>
      </c>
      <c r="J167" s="3" t="s">
        <v>829</v>
      </c>
      <c r="K167" s="3" t="s">
        <v>33</v>
      </c>
      <c r="L167" s="3" t="s">
        <v>46</v>
      </c>
      <c r="M167" s="3" t="s">
        <v>830</v>
      </c>
      <c r="N167" s="3" t="s">
        <v>48</v>
      </c>
      <c r="O167" s="3"/>
      <c r="P167" s="3"/>
      <c r="Q167" s="3"/>
      <c r="R167" s="3"/>
      <c r="S167" s="3"/>
      <c r="T167" s="3"/>
      <c r="U167" s="3">
        <v>8500</v>
      </c>
      <c r="V167" s="3">
        <v>2500</v>
      </c>
      <c r="W167" s="3">
        <v>0</v>
      </c>
      <c r="X167" s="3"/>
      <c r="Y167" s="4">
        <v>43209</v>
      </c>
      <c r="Z167" s="3" t="s">
        <v>40</v>
      </c>
      <c r="AA167" s="3" t="s">
        <v>831</v>
      </c>
      <c r="AB167" s="3">
        <v>0</v>
      </c>
    </row>
    <row r="168" spans="1:28" ht="55.9" x14ac:dyDescent="0.3">
      <c r="A168" s="5">
        <v>162</v>
      </c>
      <c r="B168" s="5" t="str">
        <f>"202000109082"</f>
        <v>202000109082</v>
      </c>
      <c r="C168" s="5" t="str">
        <f>"8035"</f>
        <v>8035</v>
      </c>
      <c r="D168" s="5" t="s">
        <v>832</v>
      </c>
      <c r="E168" s="5">
        <v>20207162826</v>
      </c>
      <c r="F168" s="5" t="s">
        <v>833</v>
      </c>
      <c r="G168" s="5" t="s">
        <v>834</v>
      </c>
      <c r="H168" s="5" t="s">
        <v>32</v>
      </c>
      <c r="I168" s="5" t="s">
        <v>32</v>
      </c>
      <c r="J168" s="5" t="s">
        <v>835</v>
      </c>
      <c r="K168" s="5" t="s">
        <v>33</v>
      </c>
      <c r="L168" s="5" t="s">
        <v>836</v>
      </c>
      <c r="M168" s="5" t="s">
        <v>837</v>
      </c>
      <c r="N168" s="5" t="s">
        <v>38</v>
      </c>
      <c r="O168" s="5" t="s">
        <v>68</v>
      </c>
      <c r="P168" s="5" t="s">
        <v>67</v>
      </c>
      <c r="Q168" s="5"/>
      <c r="R168" s="5"/>
      <c r="S168" s="5"/>
      <c r="T168" s="5"/>
      <c r="U168" s="5">
        <v>28000</v>
      </c>
      <c r="V168" s="5">
        <v>2721</v>
      </c>
      <c r="W168" s="5">
        <v>1</v>
      </c>
      <c r="X168" s="5"/>
      <c r="Y168" s="6">
        <v>44071</v>
      </c>
      <c r="Z168" s="5" t="s">
        <v>40</v>
      </c>
      <c r="AA168" s="5" t="s">
        <v>838</v>
      </c>
      <c r="AB168" s="5">
        <v>0</v>
      </c>
    </row>
    <row r="169" spans="1:28" ht="27.95" x14ac:dyDescent="0.3">
      <c r="A169" s="3">
        <v>163</v>
      </c>
      <c r="B169" s="3" t="str">
        <f>"201800216331"</f>
        <v>201800216331</v>
      </c>
      <c r="C169" s="3" t="str">
        <f>"84522"</f>
        <v>84522</v>
      </c>
      <c r="D169" s="3" t="s">
        <v>839</v>
      </c>
      <c r="E169" s="3">
        <v>20516752310</v>
      </c>
      <c r="F169" s="3" t="s">
        <v>840</v>
      </c>
      <c r="G169" s="3" t="s">
        <v>841</v>
      </c>
      <c r="H169" s="3" t="s">
        <v>32</v>
      </c>
      <c r="I169" s="3" t="s">
        <v>32</v>
      </c>
      <c r="J169" s="3" t="s">
        <v>428</v>
      </c>
      <c r="K169" s="3" t="s">
        <v>33</v>
      </c>
      <c r="L169" s="3" t="s">
        <v>123</v>
      </c>
      <c r="M169" s="3" t="s">
        <v>55</v>
      </c>
      <c r="N169" s="3" t="s">
        <v>842</v>
      </c>
      <c r="O169" s="3"/>
      <c r="P169" s="3"/>
      <c r="Q169" s="3"/>
      <c r="R169" s="3"/>
      <c r="S169" s="3"/>
      <c r="T169" s="3"/>
      <c r="U169" s="3">
        <v>14000</v>
      </c>
      <c r="V169" s="3">
        <v>3500</v>
      </c>
      <c r="W169" s="3">
        <v>1250</v>
      </c>
      <c r="X169" s="3"/>
      <c r="Y169" s="4">
        <v>43464</v>
      </c>
      <c r="Z169" s="3" t="s">
        <v>40</v>
      </c>
      <c r="AA169" s="3" t="s">
        <v>843</v>
      </c>
      <c r="AB169" s="3">
        <v>0</v>
      </c>
    </row>
    <row r="170" spans="1:28" ht="27.95" x14ac:dyDescent="0.3">
      <c r="A170" s="5">
        <v>164</v>
      </c>
      <c r="B170" s="5" t="str">
        <f>"201400167080"</f>
        <v>201400167080</v>
      </c>
      <c r="C170" s="5" t="str">
        <f>"83926"</f>
        <v>83926</v>
      </c>
      <c r="D170" s="5" t="s">
        <v>844</v>
      </c>
      <c r="E170" s="5">
        <v>20507248676</v>
      </c>
      <c r="F170" s="5" t="s">
        <v>845</v>
      </c>
      <c r="G170" s="5" t="s">
        <v>846</v>
      </c>
      <c r="H170" s="5" t="s">
        <v>32</v>
      </c>
      <c r="I170" s="5" t="s">
        <v>32</v>
      </c>
      <c r="J170" s="5" t="s">
        <v>74</v>
      </c>
      <c r="K170" s="5" t="s">
        <v>33</v>
      </c>
      <c r="L170" s="5" t="s">
        <v>739</v>
      </c>
      <c r="M170" s="5" t="s">
        <v>847</v>
      </c>
      <c r="N170" s="5" t="s">
        <v>55</v>
      </c>
      <c r="O170" s="5"/>
      <c r="P170" s="5"/>
      <c r="Q170" s="5"/>
      <c r="R170" s="5"/>
      <c r="S170" s="5"/>
      <c r="T170" s="5"/>
      <c r="U170" s="5">
        <v>15100</v>
      </c>
      <c r="V170" s="5">
        <v>3100</v>
      </c>
      <c r="W170" s="5">
        <v>1250</v>
      </c>
      <c r="X170" s="5">
        <v>900</v>
      </c>
      <c r="Y170" s="6">
        <v>41995</v>
      </c>
      <c r="Z170" s="5" t="s">
        <v>40</v>
      </c>
      <c r="AA170" s="5" t="s">
        <v>848</v>
      </c>
      <c r="AB170" s="5">
        <v>360</v>
      </c>
    </row>
    <row r="171" spans="1:28" ht="27.95" x14ac:dyDescent="0.3">
      <c r="A171" s="3">
        <v>165</v>
      </c>
      <c r="B171" s="3" t="str">
        <f>"202000130258"</f>
        <v>202000130258</v>
      </c>
      <c r="C171" s="3" t="str">
        <f>"62083"</f>
        <v>62083</v>
      </c>
      <c r="D171" s="3" t="s">
        <v>849</v>
      </c>
      <c r="E171" s="3">
        <v>20506151547</v>
      </c>
      <c r="F171" s="3" t="s">
        <v>213</v>
      </c>
      <c r="G171" s="3" t="s">
        <v>850</v>
      </c>
      <c r="H171" s="3" t="s">
        <v>45</v>
      </c>
      <c r="I171" s="3" t="s">
        <v>45</v>
      </c>
      <c r="J171" s="3" t="s">
        <v>851</v>
      </c>
      <c r="K171" s="3" t="s">
        <v>33</v>
      </c>
      <c r="L171" s="3" t="s">
        <v>521</v>
      </c>
      <c r="M171" s="3" t="s">
        <v>852</v>
      </c>
      <c r="N171" s="3" t="s">
        <v>55</v>
      </c>
      <c r="O171" s="3" t="s">
        <v>853</v>
      </c>
      <c r="P171" s="3"/>
      <c r="Q171" s="3"/>
      <c r="R171" s="3"/>
      <c r="S171" s="3"/>
      <c r="T171" s="3"/>
      <c r="U171" s="3">
        <v>13500</v>
      </c>
      <c r="V171" s="3">
        <v>6000</v>
      </c>
      <c r="W171" s="3">
        <v>1031</v>
      </c>
      <c r="X171" s="3"/>
      <c r="Y171" s="4">
        <v>44104</v>
      </c>
      <c r="Z171" s="3" t="s">
        <v>40</v>
      </c>
      <c r="AA171" s="3" t="s">
        <v>139</v>
      </c>
      <c r="AB171" s="3">
        <v>0</v>
      </c>
    </row>
    <row r="172" spans="1:28" ht="27.95" x14ac:dyDescent="0.3">
      <c r="A172" s="5">
        <v>166</v>
      </c>
      <c r="B172" s="5" t="str">
        <f>"201800053481"</f>
        <v>201800053481</v>
      </c>
      <c r="C172" s="5" t="str">
        <f>"8336"</f>
        <v>8336</v>
      </c>
      <c r="D172" s="5" t="s">
        <v>854</v>
      </c>
      <c r="E172" s="5">
        <v>20127765279</v>
      </c>
      <c r="F172" s="5" t="s">
        <v>104</v>
      </c>
      <c r="G172" s="5" t="s">
        <v>855</v>
      </c>
      <c r="H172" s="5" t="s">
        <v>32</v>
      </c>
      <c r="I172" s="5" t="s">
        <v>32</v>
      </c>
      <c r="J172" s="5" t="s">
        <v>65</v>
      </c>
      <c r="K172" s="5" t="s">
        <v>33</v>
      </c>
      <c r="L172" s="5" t="s">
        <v>856</v>
      </c>
      <c r="M172" s="5" t="s">
        <v>857</v>
      </c>
      <c r="N172" s="5" t="s">
        <v>857</v>
      </c>
      <c r="O172" s="5" t="s">
        <v>858</v>
      </c>
      <c r="P172" s="5" t="s">
        <v>859</v>
      </c>
      <c r="Q172" s="5" t="s">
        <v>60</v>
      </c>
      <c r="R172" s="5"/>
      <c r="S172" s="5"/>
      <c r="T172" s="5"/>
      <c r="U172" s="5">
        <v>39624</v>
      </c>
      <c r="V172" s="5">
        <v>3000</v>
      </c>
      <c r="W172" s="5">
        <v>2000</v>
      </c>
      <c r="X172" s="5">
        <v>849</v>
      </c>
      <c r="Y172" s="6">
        <v>43193</v>
      </c>
      <c r="Z172" s="5" t="s">
        <v>40</v>
      </c>
      <c r="AA172" s="5" t="s">
        <v>203</v>
      </c>
      <c r="AB172" s="5">
        <v>240</v>
      </c>
    </row>
    <row r="173" spans="1:28" ht="27.95" x14ac:dyDescent="0.3">
      <c r="A173" s="3">
        <v>167</v>
      </c>
      <c r="B173" s="3" t="str">
        <f>"201100157355"</f>
        <v>201100157355</v>
      </c>
      <c r="C173" s="3" t="str">
        <f>"7089"</f>
        <v>7089</v>
      </c>
      <c r="D173" s="3" t="s">
        <v>860</v>
      </c>
      <c r="E173" s="3">
        <v>20118180306</v>
      </c>
      <c r="F173" s="3" t="s">
        <v>861</v>
      </c>
      <c r="G173" s="3" t="s">
        <v>862</v>
      </c>
      <c r="H173" s="3" t="s">
        <v>32</v>
      </c>
      <c r="I173" s="3" t="s">
        <v>32</v>
      </c>
      <c r="J173" s="3" t="s">
        <v>74</v>
      </c>
      <c r="K173" s="3" t="s">
        <v>33</v>
      </c>
      <c r="L173" s="3" t="s">
        <v>34</v>
      </c>
      <c r="M173" s="3" t="s">
        <v>863</v>
      </c>
      <c r="N173" s="3" t="s">
        <v>864</v>
      </c>
      <c r="O173" s="3" t="s">
        <v>865</v>
      </c>
      <c r="P173" s="3" t="s">
        <v>865</v>
      </c>
      <c r="Q173" s="3"/>
      <c r="R173" s="3"/>
      <c r="S173" s="3"/>
      <c r="T173" s="3"/>
      <c r="U173" s="3">
        <v>30374</v>
      </c>
      <c r="V173" s="3">
        <v>2000</v>
      </c>
      <c r="W173" s="3">
        <v>2450</v>
      </c>
      <c r="X173" s="3">
        <v>1400</v>
      </c>
      <c r="Y173" s="4">
        <v>40954</v>
      </c>
      <c r="Z173" s="3" t="s">
        <v>40</v>
      </c>
      <c r="AA173" s="3" t="s">
        <v>866</v>
      </c>
      <c r="AB173" s="3">
        <v>0</v>
      </c>
    </row>
    <row r="174" spans="1:28" ht="27.95" x14ac:dyDescent="0.3">
      <c r="A174" s="5">
        <v>168</v>
      </c>
      <c r="B174" s="5" t="str">
        <f>"201900065394"</f>
        <v>201900065394</v>
      </c>
      <c r="C174" s="5" t="str">
        <f>"8063"</f>
        <v>8063</v>
      </c>
      <c r="D174" s="5" t="s">
        <v>867</v>
      </c>
      <c r="E174" s="5">
        <v>20127765279</v>
      </c>
      <c r="F174" s="5" t="s">
        <v>104</v>
      </c>
      <c r="G174" s="5" t="s">
        <v>868</v>
      </c>
      <c r="H174" s="5" t="s">
        <v>32</v>
      </c>
      <c r="I174" s="5" t="s">
        <v>32</v>
      </c>
      <c r="J174" s="5" t="s">
        <v>363</v>
      </c>
      <c r="K174" s="5" t="s">
        <v>33</v>
      </c>
      <c r="L174" s="5" t="s">
        <v>54</v>
      </c>
      <c r="M174" s="5" t="s">
        <v>38</v>
      </c>
      <c r="N174" s="5" t="s">
        <v>36</v>
      </c>
      <c r="O174" s="5" t="s">
        <v>37</v>
      </c>
      <c r="P174" s="5" t="s">
        <v>94</v>
      </c>
      <c r="Q174" s="5"/>
      <c r="R174" s="5"/>
      <c r="S174" s="5"/>
      <c r="T174" s="5"/>
      <c r="U174" s="5">
        <v>29000</v>
      </c>
      <c r="V174" s="5">
        <v>3000</v>
      </c>
      <c r="W174" s="5">
        <v>2000</v>
      </c>
      <c r="X174" s="5">
        <v>1003</v>
      </c>
      <c r="Y174" s="6">
        <v>43593</v>
      </c>
      <c r="Z174" s="5" t="s">
        <v>40</v>
      </c>
      <c r="AA174" s="5" t="s">
        <v>203</v>
      </c>
      <c r="AB174" s="5">
        <v>720</v>
      </c>
    </row>
    <row r="175" spans="1:28" x14ac:dyDescent="0.3">
      <c r="A175" s="3">
        <v>169</v>
      </c>
      <c r="B175" s="3" t="str">
        <f>"201900189149"</f>
        <v>201900189149</v>
      </c>
      <c r="C175" s="3" t="str">
        <f>"18401"</f>
        <v>18401</v>
      </c>
      <c r="D175" s="3" t="s">
        <v>869</v>
      </c>
      <c r="E175" s="3">
        <v>20101313833</v>
      </c>
      <c r="F175" s="3" t="s">
        <v>870</v>
      </c>
      <c r="G175" s="3" t="s">
        <v>871</v>
      </c>
      <c r="H175" s="3" t="s">
        <v>32</v>
      </c>
      <c r="I175" s="3" t="s">
        <v>32</v>
      </c>
      <c r="J175" s="3" t="s">
        <v>32</v>
      </c>
      <c r="K175" s="3" t="s">
        <v>33</v>
      </c>
      <c r="L175" s="3" t="s">
        <v>38</v>
      </c>
      <c r="M175" s="3" t="s">
        <v>36</v>
      </c>
      <c r="N175" s="3" t="s">
        <v>872</v>
      </c>
      <c r="O175" s="3" t="s">
        <v>873</v>
      </c>
      <c r="P175" s="3" t="s">
        <v>873</v>
      </c>
      <c r="Q175" s="3" t="s">
        <v>874</v>
      </c>
      <c r="R175" s="3"/>
      <c r="S175" s="3"/>
      <c r="T175" s="3"/>
      <c r="U175" s="3">
        <v>38118</v>
      </c>
      <c r="V175" s="3">
        <v>3200</v>
      </c>
      <c r="W175" s="3">
        <v>4000</v>
      </c>
      <c r="X175" s="3"/>
      <c r="Y175" s="4">
        <v>43791</v>
      </c>
      <c r="Z175" s="3" t="s">
        <v>40</v>
      </c>
      <c r="AA175" s="3" t="s">
        <v>875</v>
      </c>
      <c r="AB175" s="3">
        <v>240</v>
      </c>
    </row>
    <row r="176" spans="1:28" ht="27.95" x14ac:dyDescent="0.3">
      <c r="A176" s="5">
        <v>170</v>
      </c>
      <c r="B176" s="5" t="str">
        <f>"202000026047"</f>
        <v>202000026047</v>
      </c>
      <c r="C176" s="5" t="str">
        <f>"9515"</f>
        <v>9515</v>
      </c>
      <c r="D176" s="5" t="s">
        <v>876</v>
      </c>
      <c r="E176" s="5">
        <v>20510957581</v>
      </c>
      <c r="F176" s="5" t="s">
        <v>877</v>
      </c>
      <c r="G176" s="5" t="s">
        <v>878</v>
      </c>
      <c r="H176" s="5" t="s">
        <v>32</v>
      </c>
      <c r="I176" s="5" t="s">
        <v>32</v>
      </c>
      <c r="J176" s="5" t="s">
        <v>32</v>
      </c>
      <c r="K176" s="5" t="s">
        <v>33</v>
      </c>
      <c r="L176" s="5" t="s">
        <v>34</v>
      </c>
      <c r="M176" s="5" t="s">
        <v>879</v>
      </c>
      <c r="N176" s="5" t="s">
        <v>199</v>
      </c>
      <c r="O176" s="5" t="s">
        <v>115</v>
      </c>
      <c r="P176" s="5" t="s">
        <v>55</v>
      </c>
      <c r="Q176" s="5" t="s">
        <v>347</v>
      </c>
      <c r="R176" s="5"/>
      <c r="S176" s="5"/>
      <c r="T176" s="5"/>
      <c r="U176" s="5">
        <v>31000</v>
      </c>
      <c r="V176" s="5">
        <v>2000</v>
      </c>
      <c r="W176" s="5">
        <v>1250</v>
      </c>
      <c r="X176" s="5"/>
      <c r="Y176" s="6">
        <v>43882</v>
      </c>
      <c r="Z176" s="5" t="s">
        <v>40</v>
      </c>
      <c r="AA176" s="5" t="s">
        <v>514</v>
      </c>
      <c r="AB176" s="5">
        <v>0</v>
      </c>
    </row>
    <row r="177" spans="1:28" ht="27.95" x14ac:dyDescent="0.3">
      <c r="A177" s="3">
        <v>171</v>
      </c>
      <c r="B177" s="3" t="str">
        <f>"201400022625"</f>
        <v>201400022625</v>
      </c>
      <c r="C177" s="3" t="str">
        <f>"82985"</f>
        <v>82985</v>
      </c>
      <c r="D177" s="3" t="s">
        <v>880</v>
      </c>
      <c r="E177" s="3">
        <v>20513567139</v>
      </c>
      <c r="F177" s="3" t="s">
        <v>881</v>
      </c>
      <c r="G177" s="3" t="s">
        <v>882</v>
      </c>
      <c r="H177" s="3" t="s">
        <v>32</v>
      </c>
      <c r="I177" s="3" t="s">
        <v>32</v>
      </c>
      <c r="J177" s="3" t="s">
        <v>143</v>
      </c>
      <c r="K177" s="3" t="s">
        <v>33</v>
      </c>
      <c r="L177" s="3" t="s">
        <v>46</v>
      </c>
      <c r="M177" s="3" t="s">
        <v>883</v>
      </c>
      <c r="N177" s="3" t="s">
        <v>884</v>
      </c>
      <c r="O177" s="3"/>
      <c r="P177" s="3"/>
      <c r="Q177" s="3"/>
      <c r="R177" s="3"/>
      <c r="S177" s="3"/>
      <c r="T177" s="3"/>
      <c r="U177" s="3">
        <v>11500</v>
      </c>
      <c r="V177" s="3">
        <v>2500</v>
      </c>
      <c r="W177" s="3">
        <v>2000</v>
      </c>
      <c r="X177" s="3">
        <v>1191</v>
      </c>
      <c r="Y177" s="4">
        <v>41706</v>
      </c>
      <c r="Z177" s="3" t="s">
        <v>40</v>
      </c>
      <c r="AA177" s="3" t="s">
        <v>885</v>
      </c>
      <c r="AB177" s="3">
        <v>0</v>
      </c>
    </row>
    <row r="178" spans="1:28" ht="41.95" x14ac:dyDescent="0.3">
      <c r="A178" s="5">
        <v>172</v>
      </c>
      <c r="B178" s="5" t="str">
        <f>"201900204169"</f>
        <v>201900204169</v>
      </c>
      <c r="C178" s="5" t="str">
        <f>"17906"</f>
        <v>17906</v>
      </c>
      <c r="D178" s="5" t="s">
        <v>886</v>
      </c>
      <c r="E178" s="5">
        <v>20127765279</v>
      </c>
      <c r="F178" s="5" t="s">
        <v>104</v>
      </c>
      <c r="G178" s="5" t="s">
        <v>887</v>
      </c>
      <c r="H178" s="5" t="s">
        <v>32</v>
      </c>
      <c r="I178" s="5" t="s">
        <v>32</v>
      </c>
      <c r="J178" s="5" t="s">
        <v>128</v>
      </c>
      <c r="K178" s="5" t="s">
        <v>33</v>
      </c>
      <c r="L178" s="5" t="s">
        <v>46</v>
      </c>
      <c r="M178" s="5" t="s">
        <v>221</v>
      </c>
      <c r="N178" s="5" t="s">
        <v>879</v>
      </c>
      <c r="O178" s="5" t="s">
        <v>221</v>
      </c>
      <c r="P178" s="5" t="s">
        <v>879</v>
      </c>
      <c r="Q178" s="5" t="s">
        <v>278</v>
      </c>
      <c r="R178" s="5" t="s">
        <v>38</v>
      </c>
      <c r="S178" s="5" t="s">
        <v>36</v>
      </c>
      <c r="T178" s="5"/>
      <c r="U178" s="5">
        <v>56000</v>
      </c>
      <c r="V178" s="5">
        <v>2500</v>
      </c>
      <c r="W178" s="5">
        <v>3900</v>
      </c>
      <c r="X178" s="5"/>
      <c r="Y178" s="6">
        <v>43812</v>
      </c>
      <c r="Z178" s="5" t="s">
        <v>40</v>
      </c>
      <c r="AA178" s="5" t="s">
        <v>109</v>
      </c>
      <c r="AB178" s="5">
        <v>240</v>
      </c>
    </row>
    <row r="179" spans="1:28" ht="27.95" x14ac:dyDescent="0.3">
      <c r="A179" s="3">
        <v>173</v>
      </c>
      <c r="B179" s="3" t="str">
        <f>"201900067505"</f>
        <v>201900067505</v>
      </c>
      <c r="C179" s="3" t="str">
        <f>"45439"</f>
        <v>45439</v>
      </c>
      <c r="D179" s="3" t="s">
        <v>888</v>
      </c>
      <c r="E179" s="3">
        <v>20492727661</v>
      </c>
      <c r="F179" s="3" t="s">
        <v>889</v>
      </c>
      <c r="G179" s="3" t="s">
        <v>890</v>
      </c>
      <c r="H179" s="3" t="s">
        <v>32</v>
      </c>
      <c r="I179" s="3" t="s">
        <v>32</v>
      </c>
      <c r="J179" s="3" t="s">
        <v>65</v>
      </c>
      <c r="K179" s="3" t="s">
        <v>33</v>
      </c>
      <c r="L179" s="3" t="s">
        <v>75</v>
      </c>
      <c r="M179" s="3" t="s">
        <v>891</v>
      </c>
      <c r="N179" s="3" t="s">
        <v>573</v>
      </c>
      <c r="O179" s="3" t="s">
        <v>199</v>
      </c>
      <c r="P179" s="3"/>
      <c r="Q179" s="3"/>
      <c r="R179" s="3"/>
      <c r="S179" s="3"/>
      <c r="T179" s="3"/>
      <c r="U179" s="3">
        <v>24024</v>
      </c>
      <c r="V179" s="3">
        <v>3200</v>
      </c>
      <c r="W179" s="3">
        <v>2000</v>
      </c>
      <c r="X179" s="3">
        <v>1</v>
      </c>
      <c r="Y179" s="4">
        <v>43581</v>
      </c>
      <c r="Z179" s="3" t="s">
        <v>40</v>
      </c>
      <c r="AA179" s="3" t="s">
        <v>892</v>
      </c>
      <c r="AB179" s="3">
        <v>0</v>
      </c>
    </row>
    <row r="180" spans="1:28" ht="27.95" x14ac:dyDescent="0.3">
      <c r="A180" s="5">
        <v>174</v>
      </c>
      <c r="B180" s="5" t="str">
        <f>"201700108367"</f>
        <v>201700108367</v>
      </c>
      <c r="C180" s="5" t="str">
        <f>"8642"</f>
        <v>8642</v>
      </c>
      <c r="D180" s="5" t="s">
        <v>893</v>
      </c>
      <c r="E180" s="5">
        <v>20534525070</v>
      </c>
      <c r="F180" s="5" t="s">
        <v>894</v>
      </c>
      <c r="G180" s="5" t="s">
        <v>895</v>
      </c>
      <c r="H180" s="5" t="s">
        <v>45</v>
      </c>
      <c r="I180" s="5" t="s">
        <v>45</v>
      </c>
      <c r="J180" s="5" t="s">
        <v>45</v>
      </c>
      <c r="K180" s="5" t="s">
        <v>33</v>
      </c>
      <c r="L180" s="5" t="s">
        <v>36</v>
      </c>
      <c r="M180" s="5" t="s">
        <v>37</v>
      </c>
      <c r="N180" s="5" t="s">
        <v>108</v>
      </c>
      <c r="O180" s="5" t="s">
        <v>896</v>
      </c>
      <c r="P180" s="5" t="s">
        <v>38</v>
      </c>
      <c r="Q180" s="5" t="s">
        <v>38</v>
      </c>
      <c r="R180" s="5" t="s">
        <v>287</v>
      </c>
      <c r="S180" s="5"/>
      <c r="T180" s="5"/>
      <c r="U180" s="5">
        <v>48000</v>
      </c>
      <c r="V180" s="5">
        <v>4000</v>
      </c>
      <c r="W180" s="5">
        <v>3970</v>
      </c>
      <c r="X180" s="5">
        <v>1312</v>
      </c>
      <c r="Y180" s="6">
        <v>42927</v>
      </c>
      <c r="Z180" s="5" t="s">
        <v>40</v>
      </c>
      <c r="AA180" s="5" t="s">
        <v>897</v>
      </c>
      <c r="AB180" s="5">
        <v>0</v>
      </c>
    </row>
    <row r="181" spans="1:28" ht="27.95" x14ac:dyDescent="0.3">
      <c r="A181" s="3">
        <v>175</v>
      </c>
      <c r="B181" s="3" t="str">
        <f>"201900121757"</f>
        <v>201900121757</v>
      </c>
      <c r="C181" s="3" t="str">
        <f>"18571"</f>
        <v>18571</v>
      </c>
      <c r="D181" s="3" t="s">
        <v>898</v>
      </c>
      <c r="E181" s="3">
        <v>20511978794</v>
      </c>
      <c r="F181" s="3" t="s">
        <v>899</v>
      </c>
      <c r="G181" s="3" t="s">
        <v>900</v>
      </c>
      <c r="H181" s="3" t="s">
        <v>32</v>
      </c>
      <c r="I181" s="3" t="s">
        <v>32</v>
      </c>
      <c r="J181" s="3" t="s">
        <v>250</v>
      </c>
      <c r="K181" s="3" t="s">
        <v>33</v>
      </c>
      <c r="L181" s="3" t="s">
        <v>54</v>
      </c>
      <c r="M181" s="3" t="s">
        <v>37</v>
      </c>
      <c r="N181" s="3" t="s">
        <v>36</v>
      </c>
      <c r="O181" s="3" t="s">
        <v>38</v>
      </c>
      <c r="P181" s="3" t="s">
        <v>278</v>
      </c>
      <c r="Q181" s="3"/>
      <c r="R181" s="3"/>
      <c r="S181" s="3"/>
      <c r="T181" s="3"/>
      <c r="U181" s="3">
        <v>32000</v>
      </c>
      <c r="V181" s="3">
        <v>3000</v>
      </c>
      <c r="W181" s="3">
        <v>5401</v>
      </c>
      <c r="X181" s="3"/>
      <c r="Y181" s="4">
        <v>43680</v>
      </c>
      <c r="Z181" s="3" t="s">
        <v>40</v>
      </c>
      <c r="AA181" s="3" t="s">
        <v>763</v>
      </c>
      <c r="AB181" s="3">
        <v>0</v>
      </c>
    </row>
    <row r="182" spans="1:28" ht="27.95" x14ac:dyDescent="0.3">
      <c r="A182" s="5">
        <v>176</v>
      </c>
      <c r="B182" s="5" t="str">
        <f>"202000122981"</f>
        <v>202000122981</v>
      </c>
      <c r="C182" s="5" t="str">
        <f>"43245"</f>
        <v>43245</v>
      </c>
      <c r="D182" s="5" t="s">
        <v>901</v>
      </c>
      <c r="E182" s="5">
        <v>20100111838</v>
      </c>
      <c r="F182" s="5" t="s">
        <v>111</v>
      </c>
      <c r="G182" s="5" t="s">
        <v>902</v>
      </c>
      <c r="H182" s="5" t="s">
        <v>32</v>
      </c>
      <c r="I182" s="5" t="s">
        <v>32</v>
      </c>
      <c r="J182" s="5" t="s">
        <v>53</v>
      </c>
      <c r="K182" s="5" t="s">
        <v>33</v>
      </c>
      <c r="L182" s="5" t="s">
        <v>46</v>
      </c>
      <c r="M182" s="5" t="s">
        <v>91</v>
      </c>
      <c r="N182" s="5" t="s">
        <v>903</v>
      </c>
      <c r="O182" s="5" t="s">
        <v>904</v>
      </c>
      <c r="P182" s="5"/>
      <c r="Q182" s="5"/>
      <c r="R182" s="5"/>
      <c r="S182" s="5"/>
      <c r="T182" s="5"/>
      <c r="U182" s="5">
        <v>9615</v>
      </c>
      <c r="V182" s="5">
        <v>2500</v>
      </c>
      <c r="W182" s="5">
        <v>0</v>
      </c>
      <c r="X182" s="5"/>
      <c r="Y182" s="6">
        <v>44106</v>
      </c>
      <c r="Z182" s="5" t="s">
        <v>40</v>
      </c>
      <c r="AA182" s="5" t="s">
        <v>905</v>
      </c>
      <c r="AB182" s="5">
        <v>0</v>
      </c>
    </row>
    <row r="183" spans="1:28" ht="27.95" x14ac:dyDescent="0.3">
      <c r="A183" s="3">
        <v>177</v>
      </c>
      <c r="B183" s="3" t="str">
        <f>"201900022413"</f>
        <v>201900022413</v>
      </c>
      <c r="C183" s="3" t="str">
        <f>"125850"</f>
        <v>125850</v>
      </c>
      <c r="D183" s="3" t="s">
        <v>906</v>
      </c>
      <c r="E183" s="3">
        <v>20513567139</v>
      </c>
      <c r="F183" s="3" t="s">
        <v>907</v>
      </c>
      <c r="G183" s="3" t="s">
        <v>908</v>
      </c>
      <c r="H183" s="3" t="s">
        <v>32</v>
      </c>
      <c r="I183" s="3" t="s">
        <v>32</v>
      </c>
      <c r="J183" s="3" t="s">
        <v>128</v>
      </c>
      <c r="K183" s="3" t="s">
        <v>33</v>
      </c>
      <c r="L183" s="3" t="s">
        <v>75</v>
      </c>
      <c r="M183" s="3" t="s">
        <v>909</v>
      </c>
      <c r="N183" s="3" t="s">
        <v>910</v>
      </c>
      <c r="O183" s="3"/>
      <c r="P183" s="3"/>
      <c r="Q183" s="3"/>
      <c r="R183" s="3"/>
      <c r="S183" s="3"/>
      <c r="T183" s="3"/>
      <c r="U183" s="3">
        <v>12000</v>
      </c>
      <c r="V183" s="3">
        <v>3200</v>
      </c>
      <c r="W183" s="3">
        <v>1250</v>
      </c>
      <c r="X183" s="3">
        <v>1200</v>
      </c>
      <c r="Y183" s="4">
        <v>43515</v>
      </c>
      <c r="Z183" s="3" t="s">
        <v>40</v>
      </c>
      <c r="AA183" s="3" t="s">
        <v>911</v>
      </c>
      <c r="AB183" s="3">
        <v>0</v>
      </c>
    </row>
    <row r="184" spans="1:28" ht="27.95" x14ac:dyDescent="0.3">
      <c r="A184" s="5">
        <v>178</v>
      </c>
      <c r="B184" s="5" t="str">
        <f>"201800106274"</f>
        <v>201800106274</v>
      </c>
      <c r="C184" s="5" t="str">
        <f>"132204"</f>
        <v>132204</v>
      </c>
      <c r="D184" s="5" t="s">
        <v>912</v>
      </c>
      <c r="E184" s="5">
        <v>20503840121</v>
      </c>
      <c r="F184" s="5" t="s">
        <v>72</v>
      </c>
      <c r="G184" s="5" t="s">
        <v>913</v>
      </c>
      <c r="H184" s="5" t="s">
        <v>32</v>
      </c>
      <c r="I184" s="5" t="s">
        <v>32</v>
      </c>
      <c r="J184" s="5" t="s">
        <v>317</v>
      </c>
      <c r="K184" s="5" t="s">
        <v>33</v>
      </c>
      <c r="L184" s="5" t="s">
        <v>66</v>
      </c>
      <c r="M184" s="5" t="s">
        <v>364</v>
      </c>
      <c r="N184" s="5" t="s">
        <v>364</v>
      </c>
      <c r="O184" s="5" t="s">
        <v>914</v>
      </c>
      <c r="P184" s="5" t="s">
        <v>914</v>
      </c>
      <c r="Q184" s="5" t="s">
        <v>68</v>
      </c>
      <c r="R184" s="5" t="s">
        <v>67</v>
      </c>
      <c r="S184" s="5" t="s">
        <v>129</v>
      </c>
      <c r="T184" s="5"/>
      <c r="U184" s="5">
        <v>58000</v>
      </c>
      <c r="V184" s="5">
        <v>4500</v>
      </c>
      <c r="W184" s="5">
        <v>11750</v>
      </c>
      <c r="X184" s="5">
        <v>2500</v>
      </c>
      <c r="Y184" s="6">
        <v>43899</v>
      </c>
      <c r="Z184" s="5" t="s">
        <v>40</v>
      </c>
      <c r="AA184" s="5" t="s">
        <v>247</v>
      </c>
      <c r="AB184" s="5">
        <v>0</v>
      </c>
    </row>
    <row r="185" spans="1:28" ht="27.95" x14ac:dyDescent="0.3">
      <c r="A185" s="3">
        <v>179</v>
      </c>
      <c r="B185" s="3" t="str">
        <f>"201700144111"</f>
        <v>201700144111</v>
      </c>
      <c r="C185" s="3" t="str">
        <f>"7161"</f>
        <v>7161</v>
      </c>
      <c r="D185" s="3" t="s">
        <v>915</v>
      </c>
      <c r="E185" s="3">
        <v>20600318366</v>
      </c>
      <c r="F185" s="3" t="s">
        <v>916</v>
      </c>
      <c r="G185" s="3" t="s">
        <v>917</v>
      </c>
      <c r="H185" s="3" t="s">
        <v>32</v>
      </c>
      <c r="I185" s="3" t="s">
        <v>32</v>
      </c>
      <c r="J185" s="3" t="s">
        <v>835</v>
      </c>
      <c r="K185" s="3" t="s">
        <v>33</v>
      </c>
      <c r="L185" s="3" t="s">
        <v>500</v>
      </c>
      <c r="M185" s="3" t="s">
        <v>451</v>
      </c>
      <c r="N185" s="3" t="s">
        <v>462</v>
      </c>
      <c r="O185" s="3" t="s">
        <v>696</v>
      </c>
      <c r="P185" s="3"/>
      <c r="Q185" s="3"/>
      <c r="R185" s="3"/>
      <c r="S185" s="3"/>
      <c r="T185" s="3"/>
      <c r="U185" s="3">
        <v>12000</v>
      </c>
      <c r="V185" s="3">
        <v>5000</v>
      </c>
      <c r="W185" s="3">
        <v>3900</v>
      </c>
      <c r="X185" s="3">
        <v>1401</v>
      </c>
      <c r="Y185" s="4">
        <v>42998</v>
      </c>
      <c r="Z185" s="3" t="s">
        <v>40</v>
      </c>
      <c r="AA185" s="3" t="s">
        <v>918</v>
      </c>
      <c r="AB185" s="3">
        <v>0</v>
      </c>
    </row>
    <row r="186" spans="1:28" ht="27.95" x14ac:dyDescent="0.3">
      <c r="A186" s="5">
        <v>180</v>
      </c>
      <c r="B186" s="5" t="str">
        <f>"201900204072"</f>
        <v>201900204072</v>
      </c>
      <c r="C186" s="5" t="str">
        <f>"40353"</f>
        <v>40353</v>
      </c>
      <c r="D186" s="5" t="s">
        <v>919</v>
      </c>
      <c r="E186" s="5">
        <v>20127765279</v>
      </c>
      <c r="F186" s="5" t="s">
        <v>104</v>
      </c>
      <c r="G186" s="5" t="s">
        <v>920</v>
      </c>
      <c r="H186" s="5" t="s">
        <v>32</v>
      </c>
      <c r="I186" s="5" t="s">
        <v>32</v>
      </c>
      <c r="J186" s="5" t="s">
        <v>363</v>
      </c>
      <c r="K186" s="5" t="s">
        <v>33</v>
      </c>
      <c r="L186" s="5" t="s">
        <v>46</v>
      </c>
      <c r="M186" s="5" t="s">
        <v>37</v>
      </c>
      <c r="N186" s="5" t="s">
        <v>518</v>
      </c>
      <c r="O186" s="5" t="s">
        <v>921</v>
      </c>
      <c r="P186" s="5"/>
      <c r="Q186" s="5"/>
      <c r="R186" s="5"/>
      <c r="S186" s="5"/>
      <c r="T186" s="5"/>
      <c r="U186" s="5">
        <v>24000</v>
      </c>
      <c r="V186" s="5">
        <v>2500</v>
      </c>
      <c r="W186" s="5">
        <v>1000</v>
      </c>
      <c r="X186" s="5"/>
      <c r="Y186" s="6">
        <v>43811</v>
      </c>
      <c r="Z186" s="5" t="s">
        <v>40</v>
      </c>
      <c r="AA186" s="5" t="s">
        <v>109</v>
      </c>
      <c r="AB186" s="5">
        <v>0</v>
      </c>
    </row>
    <row r="187" spans="1:28" ht="27.95" x14ac:dyDescent="0.3">
      <c r="A187" s="3">
        <v>181</v>
      </c>
      <c r="B187" s="3" t="str">
        <f>"202000126586"</f>
        <v>202000126586</v>
      </c>
      <c r="C187" s="3" t="str">
        <f>"7321"</f>
        <v>7321</v>
      </c>
      <c r="D187" s="3" t="s">
        <v>922</v>
      </c>
      <c r="E187" s="3">
        <v>20486255171</v>
      </c>
      <c r="F187" s="3" t="s">
        <v>923</v>
      </c>
      <c r="G187" s="3" t="s">
        <v>924</v>
      </c>
      <c r="H187" s="3" t="s">
        <v>563</v>
      </c>
      <c r="I187" s="3" t="s">
        <v>564</v>
      </c>
      <c r="J187" s="3" t="s">
        <v>925</v>
      </c>
      <c r="K187" s="3" t="s">
        <v>33</v>
      </c>
      <c r="L187" s="3" t="s">
        <v>926</v>
      </c>
      <c r="M187" s="3" t="s">
        <v>927</v>
      </c>
      <c r="N187" s="3" t="s">
        <v>928</v>
      </c>
      <c r="O187" s="3" t="s">
        <v>929</v>
      </c>
      <c r="P187" s="3" t="s">
        <v>930</v>
      </c>
      <c r="Q187" s="3" t="s">
        <v>931</v>
      </c>
      <c r="R187" s="3"/>
      <c r="S187" s="3"/>
      <c r="T187" s="3"/>
      <c r="U187" s="3">
        <v>35294</v>
      </c>
      <c r="V187" s="3">
        <v>10000</v>
      </c>
      <c r="W187" s="3">
        <v>0</v>
      </c>
      <c r="X187" s="3"/>
      <c r="Y187" s="4">
        <v>44102</v>
      </c>
      <c r="Z187" s="3" t="s">
        <v>40</v>
      </c>
      <c r="AA187" s="3" t="s">
        <v>932</v>
      </c>
      <c r="AB187" s="3">
        <v>48</v>
      </c>
    </row>
    <row r="188" spans="1:28" ht="27.95" x14ac:dyDescent="0.3">
      <c r="A188" s="5">
        <v>182</v>
      </c>
      <c r="B188" s="5" t="str">
        <f>"201900092054"</f>
        <v>201900092054</v>
      </c>
      <c r="C188" s="5" t="str">
        <f>"95739"</f>
        <v>95739</v>
      </c>
      <c r="D188" s="5" t="s">
        <v>933</v>
      </c>
      <c r="E188" s="5">
        <v>20536606573</v>
      </c>
      <c r="F188" s="5" t="s">
        <v>934</v>
      </c>
      <c r="G188" s="5" t="s">
        <v>935</v>
      </c>
      <c r="H188" s="5" t="s">
        <v>32</v>
      </c>
      <c r="I188" s="5" t="s">
        <v>32</v>
      </c>
      <c r="J188" s="5" t="s">
        <v>428</v>
      </c>
      <c r="K188" s="5" t="s">
        <v>33</v>
      </c>
      <c r="L188" s="5" t="s">
        <v>936</v>
      </c>
      <c r="M188" s="5" t="s">
        <v>937</v>
      </c>
      <c r="N188" s="5"/>
      <c r="O188" s="5"/>
      <c r="P188" s="5"/>
      <c r="Q188" s="5"/>
      <c r="R188" s="5"/>
      <c r="S188" s="5"/>
      <c r="T188" s="5"/>
      <c r="U188" s="5">
        <v>10512</v>
      </c>
      <c r="V188" s="5">
        <v>2000</v>
      </c>
      <c r="W188" s="5">
        <v>1000</v>
      </c>
      <c r="X188" s="5">
        <v>1716</v>
      </c>
      <c r="Y188" s="6">
        <v>43630</v>
      </c>
      <c r="Z188" s="5" t="s">
        <v>40</v>
      </c>
      <c r="AA188" s="5" t="s">
        <v>938</v>
      </c>
      <c r="AB188" s="5">
        <v>0</v>
      </c>
    </row>
    <row r="189" spans="1:28" x14ac:dyDescent="0.3">
      <c r="A189" s="3">
        <v>183</v>
      </c>
      <c r="B189" s="3" t="str">
        <f>"201900035210"</f>
        <v>201900035210</v>
      </c>
      <c r="C189" s="3" t="str">
        <f>"6780"</f>
        <v>6780</v>
      </c>
      <c r="D189" s="3" t="s">
        <v>939</v>
      </c>
      <c r="E189" s="3">
        <v>20127765279</v>
      </c>
      <c r="F189" s="3" t="s">
        <v>104</v>
      </c>
      <c r="G189" s="3" t="s">
        <v>940</v>
      </c>
      <c r="H189" s="3" t="s">
        <v>32</v>
      </c>
      <c r="I189" s="3" t="s">
        <v>32</v>
      </c>
      <c r="J189" s="3" t="s">
        <v>90</v>
      </c>
      <c r="K189" s="3" t="s">
        <v>33</v>
      </c>
      <c r="L189" s="3" t="s">
        <v>46</v>
      </c>
      <c r="M189" s="3" t="s">
        <v>38</v>
      </c>
      <c r="N189" s="3" t="s">
        <v>37</v>
      </c>
      <c r="O189" s="3" t="s">
        <v>36</v>
      </c>
      <c r="P189" s="3" t="s">
        <v>35</v>
      </c>
      <c r="Q189" s="3" t="s">
        <v>68</v>
      </c>
      <c r="R189" s="3"/>
      <c r="S189" s="3"/>
      <c r="T189" s="3"/>
      <c r="U189" s="3">
        <v>38000</v>
      </c>
      <c r="V189" s="3">
        <v>2500</v>
      </c>
      <c r="W189" s="3">
        <v>1250</v>
      </c>
      <c r="X189" s="3">
        <v>900</v>
      </c>
      <c r="Y189" s="4">
        <v>43530</v>
      </c>
      <c r="Z189" s="3" t="s">
        <v>40</v>
      </c>
      <c r="AA189" s="3" t="s">
        <v>109</v>
      </c>
      <c r="AB189" s="3">
        <v>480</v>
      </c>
    </row>
    <row r="190" spans="1:28" ht="41.95" x14ac:dyDescent="0.3">
      <c r="A190" s="5">
        <v>184</v>
      </c>
      <c r="B190" s="5" t="str">
        <f>"201900196969"</f>
        <v>201900196969</v>
      </c>
      <c r="C190" s="5" t="str">
        <f>"16143"</f>
        <v>16143</v>
      </c>
      <c r="D190" s="5" t="s">
        <v>941</v>
      </c>
      <c r="E190" s="5">
        <v>20101259448</v>
      </c>
      <c r="F190" s="5" t="s">
        <v>942</v>
      </c>
      <c r="G190" s="5" t="s">
        <v>943</v>
      </c>
      <c r="H190" s="5" t="s">
        <v>32</v>
      </c>
      <c r="I190" s="5" t="s">
        <v>32</v>
      </c>
      <c r="J190" s="5" t="s">
        <v>32</v>
      </c>
      <c r="K190" s="5" t="s">
        <v>33</v>
      </c>
      <c r="L190" s="5" t="s">
        <v>944</v>
      </c>
      <c r="M190" s="5" t="s">
        <v>37</v>
      </c>
      <c r="N190" s="5" t="s">
        <v>37</v>
      </c>
      <c r="O190" s="5" t="s">
        <v>238</v>
      </c>
      <c r="P190" s="5" t="s">
        <v>36</v>
      </c>
      <c r="Q190" s="5" t="s">
        <v>38</v>
      </c>
      <c r="R190" s="5" t="s">
        <v>38</v>
      </c>
      <c r="S190" s="5"/>
      <c r="T190" s="5"/>
      <c r="U190" s="5">
        <v>48000</v>
      </c>
      <c r="V190" s="5">
        <v>1320</v>
      </c>
      <c r="W190" s="5">
        <v>3650</v>
      </c>
      <c r="X190" s="5"/>
      <c r="Y190" s="6">
        <v>43826</v>
      </c>
      <c r="Z190" s="5" t="s">
        <v>40</v>
      </c>
      <c r="AA190" s="5">
        <v>18120902</v>
      </c>
      <c r="AB190" s="5">
        <v>0</v>
      </c>
    </row>
    <row r="191" spans="1:28" x14ac:dyDescent="0.3">
      <c r="A191" s="3">
        <v>185</v>
      </c>
      <c r="B191" s="3" t="str">
        <f>"201900035215"</f>
        <v>201900035215</v>
      </c>
      <c r="C191" s="3" t="str">
        <f>"18351"</f>
        <v>18351</v>
      </c>
      <c r="D191" s="3" t="s">
        <v>945</v>
      </c>
      <c r="E191" s="3">
        <v>20127765279</v>
      </c>
      <c r="F191" s="3" t="s">
        <v>120</v>
      </c>
      <c r="G191" s="3" t="s">
        <v>946</v>
      </c>
      <c r="H191" s="3" t="s">
        <v>32</v>
      </c>
      <c r="I191" s="3" t="s">
        <v>32</v>
      </c>
      <c r="J191" s="3" t="s">
        <v>631</v>
      </c>
      <c r="K191" s="3" t="s">
        <v>33</v>
      </c>
      <c r="L191" s="3" t="s">
        <v>399</v>
      </c>
      <c r="M191" s="3" t="s">
        <v>36</v>
      </c>
      <c r="N191" s="3" t="s">
        <v>35</v>
      </c>
      <c r="O191" s="3" t="s">
        <v>36</v>
      </c>
      <c r="P191" s="3" t="s">
        <v>38</v>
      </c>
      <c r="Q191" s="3" t="s">
        <v>37</v>
      </c>
      <c r="R191" s="3"/>
      <c r="S191" s="3"/>
      <c r="T191" s="3"/>
      <c r="U191" s="3">
        <v>40000</v>
      </c>
      <c r="V191" s="3">
        <v>4000</v>
      </c>
      <c r="W191" s="3">
        <v>1250</v>
      </c>
      <c r="X191" s="3">
        <v>1200</v>
      </c>
      <c r="Y191" s="4">
        <v>43528</v>
      </c>
      <c r="Z191" s="3" t="s">
        <v>40</v>
      </c>
      <c r="AA191" s="3" t="s">
        <v>109</v>
      </c>
      <c r="AB191" s="3">
        <v>240</v>
      </c>
    </row>
    <row r="192" spans="1:28" ht="27.95" x14ac:dyDescent="0.3">
      <c r="A192" s="5">
        <v>186</v>
      </c>
      <c r="B192" s="5" t="str">
        <f>"201900035218"</f>
        <v>201900035218</v>
      </c>
      <c r="C192" s="5" t="str">
        <f>"6783"</f>
        <v>6783</v>
      </c>
      <c r="D192" s="5" t="s">
        <v>947</v>
      </c>
      <c r="E192" s="5">
        <v>20127765279</v>
      </c>
      <c r="F192" s="5" t="s">
        <v>104</v>
      </c>
      <c r="G192" s="5" t="s">
        <v>948</v>
      </c>
      <c r="H192" s="5" t="s">
        <v>32</v>
      </c>
      <c r="I192" s="5" t="s">
        <v>32</v>
      </c>
      <c r="J192" s="5" t="s">
        <v>65</v>
      </c>
      <c r="K192" s="5" t="s">
        <v>33</v>
      </c>
      <c r="L192" s="5" t="s">
        <v>34</v>
      </c>
      <c r="M192" s="5" t="s">
        <v>37</v>
      </c>
      <c r="N192" s="5" t="s">
        <v>36</v>
      </c>
      <c r="O192" s="5" t="s">
        <v>38</v>
      </c>
      <c r="P192" s="5" t="s">
        <v>37</v>
      </c>
      <c r="Q192" s="5" t="s">
        <v>35</v>
      </c>
      <c r="R192" s="5"/>
      <c r="S192" s="5"/>
      <c r="T192" s="5"/>
      <c r="U192" s="5">
        <v>40000</v>
      </c>
      <c r="V192" s="5">
        <v>2000</v>
      </c>
      <c r="W192" s="5">
        <v>1250</v>
      </c>
      <c r="X192" s="5">
        <v>1200</v>
      </c>
      <c r="Y192" s="6">
        <v>43528</v>
      </c>
      <c r="Z192" s="5" t="s">
        <v>40</v>
      </c>
      <c r="AA192" s="5" t="s">
        <v>109</v>
      </c>
      <c r="AB192" s="5">
        <v>720</v>
      </c>
    </row>
    <row r="193" spans="1:28" ht="27.95" x14ac:dyDescent="0.3">
      <c r="A193" s="3">
        <v>187</v>
      </c>
      <c r="B193" s="3" t="str">
        <f>"201900121766"</f>
        <v>201900121766</v>
      </c>
      <c r="C193" s="3" t="str">
        <f>"125695"</f>
        <v>125695</v>
      </c>
      <c r="D193" s="3" t="s">
        <v>949</v>
      </c>
      <c r="E193" s="3">
        <v>20511978794</v>
      </c>
      <c r="F193" s="3" t="s">
        <v>899</v>
      </c>
      <c r="G193" s="3" t="s">
        <v>950</v>
      </c>
      <c r="H193" s="3" t="s">
        <v>32</v>
      </c>
      <c r="I193" s="3" t="s">
        <v>32</v>
      </c>
      <c r="J193" s="3" t="s">
        <v>250</v>
      </c>
      <c r="K193" s="3" t="s">
        <v>33</v>
      </c>
      <c r="L193" s="3" t="s">
        <v>54</v>
      </c>
      <c r="M193" s="3" t="s">
        <v>951</v>
      </c>
      <c r="N193" s="3" t="s">
        <v>952</v>
      </c>
      <c r="O193" s="3" t="s">
        <v>953</v>
      </c>
      <c r="P193" s="3" t="s">
        <v>954</v>
      </c>
      <c r="Q193" s="3"/>
      <c r="R193" s="3"/>
      <c r="S193" s="3"/>
      <c r="T193" s="3"/>
      <c r="U193" s="3">
        <v>28397</v>
      </c>
      <c r="V193" s="3">
        <v>3000</v>
      </c>
      <c r="W193" s="3">
        <v>3900</v>
      </c>
      <c r="X193" s="3"/>
      <c r="Y193" s="4">
        <v>43678</v>
      </c>
      <c r="Z193" s="3" t="s">
        <v>40</v>
      </c>
      <c r="AA193" s="3" t="s">
        <v>763</v>
      </c>
      <c r="AB193" s="3">
        <v>0</v>
      </c>
    </row>
    <row r="194" spans="1:28" ht="27.95" x14ac:dyDescent="0.3">
      <c r="A194" s="5">
        <v>188</v>
      </c>
      <c r="B194" s="5" t="str">
        <f>"201600026612"</f>
        <v>201600026612</v>
      </c>
      <c r="C194" s="5" t="str">
        <f>"19952"</f>
        <v>19952</v>
      </c>
      <c r="D194" s="5" t="s">
        <v>955</v>
      </c>
      <c r="E194" s="5">
        <v>20385649194</v>
      </c>
      <c r="F194" s="5" t="s">
        <v>956</v>
      </c>
      <c r="G194" s="5" t="s">
        <v>957</v>
      </c>
      <c r="H194" s="5" t="s">
        <v>32</v>
      </c>
      <c r="I194" s="5" t="s">
        <v>32</v>
      </c>
      <c r="J194" s="5" t="s">
        <v>65</v>
      </c>
      <c r="K194" s="5" t="s">
        <v>33</v>
      </c>
      <c r="L194" s="5" t="s">
        <v>34</v>
      </c>
      <c r="M194" s="5" t="s">
        <v>364</v>
      </c>
      <c r="N194" s="5" t="s">
        <v>94</v>
      </c>
      <c r="O194" s="5" t="s">
        <v>93</v>
      </c>
      <c r="P194" s="5" t="s">
        <v>92</v>
      </c>
      <c r="Q194" s="5" t="s">
        <v>91</v>
      </c>
      <c r="R194" s="5"/>
      <c r="S194" s="5"/>
      <c r="T194" s="5"/>
      <c r="U194" s="5">
        <v>30000</v>
      </c>
      <c r="V194" s="5">
        <v>2000</v>
      </c>
      <c r="W194" s="5">
        <v>1250</v>
      </c>
      <c r="X194" s="5">
        <v>1415</v>
      </c>
      <c r="Y194" s="6">
        <v>42431</v>
      </c>
      <c r="Z194" s="5" t="s">
        <v>40</v>
      </c>
      <c r="AA194" s="5" t="s">
        <v>958</v>
      </c>
      <c r="AB194" s="5">
        <v>0</v>
      </c>
    </row>
    <row r="195" spans="1:28" ht="27.95" x14ac:dyDescent="0.3">
      <c r="A195" s="3">
        <v>189</v>
      </c>
      <c r="B195" s="3" t="str">
        <f>"201700102334"</f>
        <v>201700102334</v>
      </c>
      <c r="C195" s="3" t="str">
        <f>"86266"</f>
        <v>86266</v>
      </c>
      <c r="D195" s="3" t="s">
        <v>959</v>
      </c>
      <c r="E195" s="3">
        <v>20506151547</v>
      </c>
      <c r="F195" s="3" t="s">
        <v>478</v>
      </c>
      <c r="G195" s="3" t="s">
        <v>960</v>
      </c>
      <c r="H195" s="3" t="s">
        <v>32</v>
      </c>
      <c r="I195" s="3" t="s">
        <v>32</v>
      </c>
      <c r="J195" s="3" t="s">
        <v>341</v>
      </c>
      <c r="K195" s="3" t="s">
        <v>33</v>
      </c>
      <c r="L195" s="3" t="s">
        <v>54</v>
      </c>
      <c r="M195" s="3" t="s">
        <v>462</v>
      </c>
      <c r="N195" s="3" t="s">
        <v>446</v>
      </c>
      <c r="O195" s="3"/>
      <c r="P195" s="3"/>
      <c r="Q195" s="3"/>
      <c r="R195" s="3"/>
      <c r="S195" s="3"/>
      <c r="T195" s="3"/>
      <c r="U195" s="3">
        <v>12000</v>
      </c>
      <c r="V195" s="3">
        <v>3200</v>
      </c>
      <c r="W195" s="3">
        <v>1250</v>
      </c>
      <c r="X195" s="3">
        <v>1388</v>
      </c>
      <c r="Y195" s="4">
        <v>42917</v>
      </c>
      <c r="Z195" s="3" t="s">
        <v>40</v>
      </c>
      <c r="AA195" s="3" t="s">
        <v>139</v>
      </c>
      <c r="AB195" s="3">
        <v>240</v>
      </c>
    </row>
    <row r="196" spans="1:28" x14ac:dyDescent="0.3">
      <c r="A196" s="5">
        <v>190</v>
      </c>
      <c r="B196" s="5" t="str">
        <f>"201900014899"</f>
        <v>201900014899</v>
      </c>
      <c r="C196" s="5" t="str">
        <f>"15725"</f>
        <v>15725</v>
      </c>
      <c r="D196" s="5" t="s">
        <v>961</v>
      </c>
      <c r="E196" s="5">
        <v>20127765279</v>
      </c>
      <c r="F196" s="5" t="s">
        <v>104</v>
      </c>
      <c r="G196" s="5" t="s">
        <v>962</v>
      </c>
      <c r="H196" s="5" t="s">
        <v>197</v>
      </c>
      <c r="I196" s="5" t="s">
        <v>197</v>
      </c>
      <c r="J196" s="5" t="s">
        <v>211</v>
      </c>
      <c r="K196" s="5" t="s">
        <v>33</v>
      </c>
      <c r="L196" s="5" t="s">
        <v>521</v>
      </c>
      <c r="M196" s="5" t="s">
        <v>55</v>
      </c>
      <c r="N196" s="5" t="s">
        <v>68</v>
      </c>
      <c r="O196" s="5" t="s">
        <v>67</v>
      </c>
      <c r="P196" s="5" t="s">
        <v>522</v>
      </c>
      <c r="Q196" s="5" t="s">
        <v>163</v>
      </c>
      <c r="R196" s="5"/>
      <c r="S196" s="5"/>
      <c r="T196" s="5"/>
      <c r="U196" s="5">
        <v>26000</v>
      </c>
      <c r="V196" s="5">
        <v>6000</v>
      </c>
      <c r="W196" s="5">
        <v>3900</v>
      </c>
      <c r="X196" s="5"/>
      <c r="Y196" s="6">
        <v>43495</v>
      </c>
      <c r="Z196" s="5" t="s">
        <v>40</v>
      </c>
      <c r="AA196" s="5" t="s">
        <v>109</v>
      </c>
      <c r="AB196" s="5">
        <v>720</v>
      </c>
    </row>
    <row r="197" spans="1:28" ht="27.95" x14ac:dyDescent="0.3">
      <c r="A197" s="3">
        <v>191</v>
      </c>
      <c r="B197" s="3" t="str">
        <f>"201900067519"</f>
        <v>201900067519</v>
      </c>
      <c r="C197" s="3" t="str">
        <f>"17859"</f>
        <v>17859</v>
      </c>
      <c r="D197" s="3" t="s">
        <v>963</v>
      </c>
      <c r="E197" s="3">
        <v>20492727661</v>
      </c>
      <c r="F197" s="3" t="s">
        <v>889</v>
      </c>
      <c r="G197" s="3" t="s">
        <v>964</v>
      </c>
      <c r="H197" s="3" t="s">
        <v>32</v>
      </c>
      <c r="I197" s="3" t="s">
        <v>32</v>
      </c>
      <c r="J197" s="3" t="s">
        <v>65</v>
      </c>
      <c r="K197" s="3" t="s">
        <v>33</v>
      </c>
      <c r="L197" s="3" t="s">
        <v>75</v>
      </c>
      <c r="M197" s="3" t="s">
        <v>199</v>
      </c>
      <c r="N197" s="3" t="s">
        <v>36</v>
      </c>
      <c r="O197" s="3" t="s">
        <v>37</v>
      </c>
      <c r="P197" s="3" t="s">
        <v>38</v>
      </c>
      <c r="Q197" s="3"/>
      <c r="R197" s="3"/>
      <c r="S197" s="3"/>
      <c r="T197" s="3"/>
      <c r="U197" s="3">
        <v>32000</v>
      </c>
      <c r="V197" s="3">
        <v>3200</v>
      </c>
      <c r="W197" s="3">
        <v>4000</v>
      </c>
      <c r="X197" s="3">
        <v>1401</v>
      </c>
      <c r="Y197" s="4">
        <v>43584</v>
      </c>
      <c r="Z197" s="3" t="s">
        <v>40</v>
      </c>
      <c r="AA197" s="3" t="s">
        <v>892</v>
      </c>
      <c r="AB197" s="3">
        <v>0</v>
      </c>
    </row>
    <row r="198" spans="1:28" ht="41.95" x14ac:dyDescent="0.3">
      <c r="A198" s="5">
        <v>192</v>
      </c>
      <c r="B198" s="5" t="str">
        <f>"201800186051"</f>
        <v>201800186051</v>
      </c>
      <c r="C198" s="5" t="str">
        <f>"61805"</f>
        <v>61805</v>
      </c>
      <c r="D198" s="5" t="s">
        <v>965</v>
      </c>
      <c r="E198" s="5">
        <v>20517767396</v>
      </c>
      <c r="F198" s="5" t="s">
        <v>966</v>
      </c>
      <c r="G198" s="5" t="s">
        <v>967</v>
      </c>
      <c r="H198" s="5" t="s">
        <v>45</v>
      </c>
      <c r="I198" s="5" t="s">
        <v>324</v>
      </c>
      <c r="J198" s="5" t="s">
        <v>968</v>
      </c>
      <c r="K198" s="5" t="s">
        <v>33</v>
      </c>
      <c r="L198" s="5" t="s">
        <v>46</v>
      </c>
      <c r="M198" s="5" t="s">
        <v>969</v>
      </c>
      <c r="N198" s="5"/>
      <c r="O198" s="5"/>
      <c r="P198" s="5"/>
      <c r="Q198" s="5"/>
      <c r="R198" s="5"/>
      <c r="S198" s="5"/>
      <c r="T198" s="5"/>
      <c r="U198" s="5">
        <v>7000</v>
      </c>
      <c r="V198" s="5">
        <v>2500</v>
      </c>
      <c r="W198" s="5">
        <v>1000</v>
      </c>
      <c r="X198" s="5">
        <v>1069</v>
      </c>
      <c r="Y198" s="6">
        <v>43418</v>
      </c>
      <c r="Z198" s="5" t="s">
        <v>40</v>
      </c>
      <c r="AA198" s="5" t="s">
        <v>49</v>
      </c>
      <c r="AB198" s="5">
        <v>0</v>
      </c>
    </row>
    <row r="199" spans="1:28" ht="27.95" x14ac:dyDescent="0.3">
      <c r="A199" s="3">
        <v>193</v>
      </c>
      <c r="B199" s="3" t="str">
        <f>"201900185134"</f>
        <v>201900185134</v>
      </c>
      <c r="C199" s="3" t="str">
        <f>"9512"</f>
        <v>9512</v>
      </c>
      <c r="D199" s="3" t="s">
        <v>970</v>
      </c>
      <c r="E199" s="3">
        <v>20109980855</v>
      </c>
      <c r="F199" s="3" t="s">
        <v>294</v>
      </c>
      <c r="G199" s="3" t="s">
        <v>971</v>
      </c>
      <c r="H199" s="3" t="s">
        <v>32</v>
      </c>
      <c r="I199" s="3" t="s">
        <v>32</v>
      </c>
      <c r="J199" s="3" t="s">
        <v>428</v>
      </c>
      <c r="K199" s="3" t="s">
        <v>33</v>
      </c>
      <c r="L199" s="3" t="s">
        <v>75</v>
      </c>
      <c r="M199" s="3" t="s">
        <v>972</v>
      </c>
      <c r="N199" s="3" t="s">
        <v>38</v>
      </c>
      <c r="O199" s="3" t="s">
        <v>973</v>
      </c>
      <c r="P199" s="3"/>
      <c r="Q199" s="3"/>
      <c r="R199" s="3"/>
      <c r="S199" s="3"/>
      <c r="T199" s="3"/>
      <c r="U199" s="3">
        <v>22000</v>
      </c>
      <c r="V199" s="3">
        <v>3200</v>
      </c>
      <c r="W199" s="3">
        <v>2000</v>
      </c>
      <c r="X199" s="3"/>
      <c r="Y199" s="4">
        <v>43786</v>
      </c>
      <c r="Z199" s="3" t="s">
        <v>40</v>
      </c>
      <c r="AA199" s="3" t="s">
        <v>299</v>
      </c>
      <c r="AB199" s="3">
        <v>0</v>
      </c>
    </row>
    <row r="200" spans="1:28" ht="27.95" x14ac:dyDescent="0.3">
      <c r="A200" s="5">
        <v>194</v>
      </c>
      <c r="B200" s="5" t="str">
        <f>"201900193337"</f>
        <v>201900193337</v>
      </c>
      <c r="C200" s="5" t="str">
        <f>"16644"</f>
        <v>16644</v>
      </c>
      <c r="D200" s="5" t="s">
        <v>974</v>
      </c>
      <c r="E200" s="5">
        <v>20100111838</v>
      </c>
      <c r="F200" s="5" t="s">
        <v>111</v>
      </c>
      <c r="G200" s="5" t="s">
        <v>975</v>
      </c>
      <c r="H200" s="5" t="s">
        <v>32</v>
      </c>
      <c r="I200" s="5" t="s">
        <v>32</v>
      </c>
      <c r="J200" s="5" t="s">
        <v>32</v>
      </c>
      <c r="K200" s="5" t="s">
        <v>33</v>
      </c>
      <c r="L200" s="5" t="s">
        <v>46</v>
      </c>
      <c r="M200" s="5" t="s">
        <v>93</v>
      </c>
      <c r="N200" s="5" t="s">
        <v>92</v>
      </c>
      <c r="O200" s="5" t="s">
        <v>94</v>
      </c>
      <c r="P200" s="5" t="s">
        <v>91</v>
      </c>
      <c r="Q200" s="5"/>
      <c r="R200" s="5"/>
      <c r="S200" s="5"/>
      <c r="T200" s="5"/>
      <c r="U200" s="5">
        <v>20000</v>
      </c>
      <c r="V200" s="5">
        <v>2500</v>
      </c>
      <c r="W200" s="5">
        <v>2000</v>
      </c>
      <c r="X200" s="5"/>
      <c r="Y200" s="6">
        <v>43796</v>
      </c>
      <c r="Z200" s="5" t="s">
        <v>40</v>
      </c>
      <c r="AA200" s="5" t="s">
        <v>118</v>
      </c>
      <c r="AB200" s="5">
        <v>0</v>
      </c>
    </row>
    <row r="201" spans="1:28" ht="27.95" x14ac:dyDescent="0.3">
      <c r="A201" s="3">
        <v>195</v>
      </c>
      <c r="B201" s="3" t="str">
        <f>"201900204060"</f>
        <v>201900204060</v>
      </c>
      <c r="C201" s="3" t="str">
        <f>"125855"</f>
        <v>125855</v>
      </c>
      <c r="D201" s="3" t="s">
        <v>976</v>
      </c>
      <c r="E201" s="3">
        <v>20127765279</v>
      </c>
      <c r="F201" s="3" t="s">
        <v>104</v>
      </c>
      <c r="G201" s="3" t="s">
        <v>977</v>
      </c>
      <c r="H201" s="3" t="s">
        <v>32</v>
      </c>
      <c r="I201" s="3" t="s">
        <v>32</v>
      </c>
      <c r="J201" s="3" t="s">
        <v>202</v>
      </c>
      <c r="K201" s="3" t="s">
        <v>33</v>
      </c>
      <c r="L201" s="3" t="s">
        <v>46</v>
      </c>
      <c r="M201" s="3" t="s">
        <v>978</v>
      </c>
      <c r="N201" s="3" t="s">
        <v>979</v>
      </c>
      <c r="O201" s="3"/>
      <c r="P201" s="3"/>
      <c r="Q201" s="3"/>
      <c r="R201" s="3"/>
      <c r="S201" s="3"/>
      <c r="T201" s="3"/>
      <c r="U201" s="3">
        <v>12000</v>
      </c>
      <c r="V201" s="3">
        <v>2500</v>
      </c>
      <c r="W201" s="3">
        <v>1680</v>
      </c>
      <c r="X201" s="3"/>
      <c r="Y201" s="4">
        <v>43810</v>
      </c>
      <c r="Z201" s="3" t="s">
        <v>40</v>
      </c>
      <c r="AA201" s="3" t="s">
        <v>109</v>
      </c>
      <c r="AB201" s="3">
        <v>0</v>
      </c>
    </row>
    <row r="202" spans="1:28" ht="27.95" x14ac:dyDescent="0.3">
      <c r="A202" s="5">
        <v>196</v>
      </c>
      <c r="B202" s="5" t="str">
        <f>"201800022314"</f>
        <v>201800022314</v>
      </c>
      <c r="C202" s="5" t="str">
        <f>"15664"</f>
        <v>15664</v>
      </c>
      <c r="D202" s="5" t="s">
        <v>980</v>
      </c>
      <c r="E202" s="5">
        <v>20127765279</v>
      </c>
      <c r="F202" s="5" t="s">
        <v>104</v>
      </c>
      <c r="G202" s="5" t="s">
        <v>981</v>
      </c>
      <c r="H202" s="5" t="s">
        <v>32</v>
      </c>
      <c r="I202" s="5" t="s">
        <v>32</v>
      </c>
      <c r="J202" s="5" t="s">
        <v>982</v>
      </c>
      <c r="K202" s="5" t="s">
        <v>33</v>
      </c>
      <c r="L202" s="5" t="s">
        <v>55</v>
      </c>
      <c r="M202" s="5" t="s">
        <v>55</v>
      </c>
      <c r="N202" s="5" t="s">
        <v>55</v>
      </c>
      <c r="O202" s="5" t="s">
        <v>55</v>
      </c>
      <c r="P202" s="5" t="s">
        <v>55</v>
      </c>
      <c r="Q202" s="5" t="s">
        <v>55</v>
      </c>
      <c r="R202" s="5" t="s">
        <v>688</v>
      </c>
      <c r="S202" s="5" t="s">
        <v>68</v>
      </c>
      <c r="T202" s="5" t="s">
        <v>983</v>
      </c>
      <c r="U202" s="5">
        <v>48000</v>
      </c>
      <c r="V202" s="5">
        <v>7250</v>
      </c>
      <c r="W202" s="5">
        <v>2000</v>
      </c>
      <c r="X202" s="5"/>
      <c r="Y202" s="6">
        <v>43143</v>
      </c>
      <c r="Z202" s="5" t="s">
        <v>40</v>
      </c>
      <c r="AA202" s="5" t="s">
        <v>203</v>
      </c>
      <c r="AB202" s="5">
        <v>720</v>
      </c>
    </row>
  </sheetData>
  <mergeCells count="1">
    <mergeCell ref="A2:AB2"/>
  </mergeCells>
  <pageMargins left="0.75" right="0.75" top="1" bottom="1" header="0.5" footer="0.5"/>
  <pageSetup orientation="portrait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EESSconGLPyGNV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</dc:title>
  <dc:creator>Jose Manuel Castañeda Rossel</dc:creator>
  <cp:lastModifiedBy>Jose Manuel Castañeda Rossel</cp:lastModifiedBy>
  <dcterms:created xsi:type="dcterms:W3CDTF">2020-10-29T22:11:11Z</dcterms:created>
  <dcterms:modified xsi:type="dcterms:W3CDTF">2020-10-29T22:11:11Z</dcterms:modified>
</cp:coreProperties>
</file>